
<file path=[Content_Types].xml><?xml version="1.0" encoding="utf-8"?>
<Types xmlns="http://schemas.openxmlformats.org/package/2006/content-types"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worksheets/sheet6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Default Extension="emf" ContentType="image/x-emf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6135" windowWidth="19440" windowHeight="6180" tabRatio="320" activeTab="1"/>
  </bookViews>
  <sheets>
    <sheet name="Forside" sheetId="6" r:id="rId1"/>
    <sheet name="Kalkulator" sheetId="1" r:id="rId2"/>
    <sheet name="SK" sheetId="4" r:id="rId3"/>
    <sheet name="Andre kommuner" sheetId="2" r:id="rId4"/>
    <sheet name="Norges eiendommer" sheetId="5" r:id="rId5"/>
    <sheet name="Pos_tjen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_xlnm.Print_Area" localSheetId="2">SK!$A$1:$K$52</definedName>
  </definedNames>
  <calcPr calcId="125725"/>
</workbook>
</file>

<file path=xl/calcChain.xml><?xml version="1.0" encoding="utf-8"?>
<calcChain xmlns="http://schemas.openxmlformats.org/spreadsheetml/2006/main">
  <c r="Y48" i="1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8"/>
  <c r="AM9" l="1"/>
  <c r="AM10"/>
  <c r="AM11"/>
  <c r="AM12"/>
  <c r="AM13"/>
  <c r="AM14"/>
  <c r="AM15"/>
  <c r="AM16"/>
  <c r="AM17"/>
  <c r="AM18"/>
  <c r="AM19"/>
  <c r="AM20"/>
  <c r="AM21"/>
  <c r="AM22"/>
  <c r="AM23"/>
  <c r="AM24"/>
  <c r="AM25"/>
  <c r="AM26"/>
  <c r="AM27"/>
  <c r="AM28"/>
  <c r="AM29"/>
  <c r="AM30"/>
  <c r="AM31"/>
  <c r="AM32"/>
  <c r="AM33"/>
  <c r="AM34"/>
  <c r="AM35"/>
  <c r="AM36"/>
  <c r="AM37"/>
  <c r="AM38"/>
  <c r="AM39"/>
  <c r="AM40"/>
  <c r="AM41"/>
  <c r="AM42"/>
  <c r="AM43"/>
  <c r="AM44"/>
  <c r="AM46"/>
  <c r="AM47"/>
  <c r="AM8"/>
  <c r="AM48" l="1"/>
  <c r="K21"/>
  <c r="K22"/>
  <c r="K23"/>
  <c r="K24"/>
  <c r="K25"/>
  <c r="K20"/>
  <c r="K9"/>
  <c r="K10"/>
  <c r="K11"/>
  <c r="K12"/>
  <c r="K13"/>
  <c r="K14"/>
  <c r="K15"/>
  <c r="K16"/>
  <c r="K17"/>
  <c r="K19"/>
  <c r="K26"/>
  <c r="K27"/>
  <c r="K28"/>
  <c r="K29"/>
  <c r="K30"/>
  <c r="K31"/>
  <c r="K32"/>
  <c r="K33"/>
  <c r="K34"/>
  <c r="K35"/>
  <c r="K36"/>
  <c r="K37"/>
  <c r="K38"/>
  <c r="K39"/>
  <c r="K41"/>
  <c r="K42"/>
  <c r="K43"/>
  <c r="K44"/>
  <c r="K46"/>
  <c r="K47"/>
  <c r="K8"/>
  <c r="K48" l="1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1"/>
  <c r="N42"/>
  <c r="N43"/>
  <c r="N44"/>
  <c r="N45"/>
  <c r="N46"/>
  <c r="N47"/>
  <c r="N8"/>
  <c r="N48" l="1"/>
  <c r="AP15"/>
  <c r="AP9"/>
  <c r="AP10"/>
  <c r="AP11"/>
  <c r="AP12"/>
  <c r="AP13"/>
  <c r="AP14"/>
  <c r="AP16"/>
  <c r="AP17"/>
  <c r="AP18"/>
  <c r="AP19"/>
  <c r="AP20"/>
  <c r="AP21"/>
  <c r="AP22"/>
  <c r="AP23"/>
  <c r="AP24"/>
  <c r="AP25"/>
  <c r="AP26"/>
  <c r="AP27"/>
  <c r="AP28"/>
  <c r="AP29"/>
  <c r="AP30"/>
  <c r="AP31"/>
  <c r="AP32"/>
  <c r="AP33"/>
  <c r="AP34"/>
  <c r="AP35"/>
  <c r="AP36"/>
  <c r="AP37"/>
  <c r="AP38"/>
  <c r="AP39"/>
  <c r="AP41"/>
  <c r="AP42"/>
  <c r="AP43"/>
  <c r="AP44"/>
  <c r="AP45"/>
  <c r="AP46"/>
  <c r="AP47"/>
  <c r="AP8"/>
  <c r="AP48" l="1"/>
  <c r="AJ32"/>
  <c r="AJ15"/>
  <c r="AJ9"/>
  <c r="AJ10"/>
  <c r="AJ11"/>
  <c r="AJ12"/>
  <c r="AJ13"/>
  <c r="AJ14"/>
  <c r="AJ16"/>
  <c r="AJ17"/>
  <c r="AJ18"/>
  <c r="AJ19"/>
  <c r="AJ20"/>
  <c r="AJ21"/>
  <c r="AJ22"/>
  <c r="AJ23"/>
  <c r="AJ24"/>
  <c r="AJ25"/>
  <c r="AJ26"/>
  <c r="AJ27"/>
  <c r="AJ28"/>
  <c r="AJ29"/>
  <c r="AJ30"/>
  <c r="AJ31"/>
  <c r="AJ33"/>
  <c r="AJ34"/>
  <c r="AJ35"/>
  <c r="AJ36"/>
  <c r="AJ37"/>
  <c r="AJ38"/>
  <c r="AJ39"/>
  <c r="AJ40"/>
  <c r="AJ41"/>
  <c r="AJ42"/>
  <c r="AJ43"/>
  <c r="AJ44"/>
  <c r="AJ46"/>
  <c r="AJ47"/>
  <c r="AJ8"/>
  <c r="AJ48" l="1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1"/>
  <c r="C42"/>
  <c r="C43"/>
  <c r="C44"/>
  <c r="C45"/>
  <c r="C46"/>
  <c r="C47"/>
  <c r="C8"/>
  <c r="C48" l="1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40"/>
  <c r="B41"/>
  <c r="B42"/>
  <c r="B43"/>
  <c r="B44"/>
  <c r="B45"/>
  <c r="B46"/>
  <c r="B47"/>
  <c r="B8"/>
  <c r="B48" l="1"/>
  <c r="AG15"/>
  <c r="AG9"/>
  <c r="AG10"/>
  <c r="AG11"/>
  <c r="AG12"/>
  <c r="AG13"/>
  <c r="AG14"/>
  <c r="AG16"/>
  <c r="AG17"/>
  <c r="AG18"/>
  <c r="AG19"/>
  <c r="AG20"/>
  <c r="AG21"/>
  <c r="AG22"/>
  <c r="AG23"/>
  <c r="AG24"/>
  <c r="AG25"/>
  <c r="AG26"/>
  <c r="AG27"/>
  <c r="AG28"/>
  <c r="AG29"/>
  <c r="AG30"/>
  <c r="AG31"/>
  <c r="AG32"/>
  <c r="AG33"/>
  <c r="AG34"/>
  <c r="AG35"/>
  <c r="AG36"/>
  <c r="AG37"/>
  <c r="AG38"/>
  <c r="AG39"/>
  <c r="AG41"/>
  <c r="AG42"/>
  <c r="AG43"/>
  <c r="AG44"/>
  <c r="AG45"/>
  <c r="AG46"/>
  <c r="AG47"/>
  <c r="AG8"/>
  <c r="AG48" l="1"/>
  <c r="AN9"/>
  <c r="AN10"/>
  <c r="AN11"/>
  <c r="AN12"/>
  <c r="AN13"/>
  <c r="AN14"/>
  <c r="AN15"/>
  <c r="AN16"/>
  <c r="AN17"/>
  <c r="AN18"/>
  <c r="AN19"/>
  <c r="AN20"/>
  <c r="AN21"/>
  <c r="AN22"/>
  <c r="AN23"/>
  <c r="AN24"/>
  <c r="AN25"/>
  <c r="AN26"/>
  <c r="AN27"/>
  <c r="AN28"/>
  <c r="AN29"/>
  <c r="AN30"/>
  <c r="AN31"/>
  <c r="AN32"/>
  <c r="AN33"/>
  <c r="AN34"/>
  <c r="AN35"/>
  <c r="AN36"/>
  <c r="AN37"/>
  <c r="AN38"/>
  <c r="AN39"/>
  <c r="AN40"/>
  <c r="AN41"/>
  <c r="AN42"/>
  <c r="AN43"/>
  <c r="AN45"/>
  <c r="AN46"/>
  <c r="AN47"/>
  <c r="AN8"/>
  <c r="AN48" l="1"/>
  <c r="AR9" l="1"/>
  <c r="AR10"/>
  <c r="AR11"/>
  <c r="AR12"/>
  <c r="AR13"/>
  <c r="AR14"/>
  <c r="AR15"/>
  <c r="AR16"/>
  <c r="AR17"/>
  <c r="AR18"/>
  <c r="AR19"/>
  <c r="AR20"/>
  <c r="AR21"/>
  <c r="AR22"/>
  <c r="AR23"/>
  <c r="AR24"/>
  <c r="AR25"/>
  <c r="AR26"/>
  <c r="AR27"/>
  <c r="AR28"/>
  <c r="AR29"/>
  <c r="AR30"/>
  <c r="AR31"/>
  <c r="AR32"/>
  <c r="AR33"/>
  <c r="AR34"/>
  <c r="AR35"/>
  <c r="AR36"/>
  <c r="AR37"/>
  <c r="AR38"/>
  <c r="AR40"/>
  <c r="AR41"/>
  <c r="AR42"/>
  <c r="AR43"/>
  <c r="AR44"/>
  <c r="AR45"/>
  <c r="AR46"/>
  <c r="AR47"/>
  <c r="AR8"/>
  <c r="AR48" l="1"/>
  <c r="AQ9"/>
  <c r="AQ10"/>
  <c r="AQ11"/>
  <c r="AQ12"/>
  <c r="AQ13"/>
  <c r="AQ14"/>
  <c r="AQ15"/>
  <c r="AQ16"/>
  <c r="AQ17"/>
  <c r="AQ18"/>
  <c r="AQ19"/>
  <c r="AQ20"/>
  <c r="AQ21"/>
  <c r="AQ22"/>
  <c r="AQ23"/>
  <c r="AQ24"/>
  <c r="AQ25"/>
  <c r="AQ26"/>
  <c r="AQ27"/>
  <c r="AQ28"/>
  <c r="AQ29"/>
  <c r="AQ30"/>
  <c r="AQ31"/>
  <c r="AQ32"/>
  <c r="AQ33"/>
  <c r="AQ34"/>
  <c r="AQ35"/>
  <c r="AQ36"/>
  <c r="AQ37"/>
  <c r="AQ38"/>
  <c r="AQ40"/>
  <c r="AQ41"/>
  <c r="AQ42"/>
  <c r="AQ43"/>
  <c r="AQ44"/>
  <c r="AQ45"/>
  <c r="AQ46"/>
  <c r="AQ47"/>
  <c r="AQ8"/>
  <c r="AO9"/>
  <c r="AO10"/>
  <c r="AO11"/>
  <c r="AO12"/>
  <c r="AO13"/>
  <c r="AO14"/>
  <c r="AO15"/>
  <c r="AO16"/>
  <c r="AO17"/>
  <c r="AO18"/>
  <c r="AO19"/>
  <c r="AO20"/>
  <c r="AO21"/>
  <c r="AO22"/>
  <c r="AO23"/>
  <c r="AO24"/>
  <c r="AO25"/>
  <c r="AO26"/>
  <c r="AO27"/>
  <c r="AO28"/>
  <c r="AO29"/>
  <c r="AO30"/>
  <c r="AO31"/>
  <c r="AO32"/>
  <c r="AO33"/>
  <c r="AO34"/>
  <c r="AO35"/>
  <c r="AO36"/>
  <c r="AO37"/>
  <c r="AO38"/>
  <c r="AO39"/>
  <c r="AO40"/>
  <c r="AO41"/>
  <c r="AO42"/>
  <c r="AO43"/>
  <c r="AO44"/>
  <c r="AO45"/>
  <c r="AO46"/>
  <c r="AO47"/>
  <c r="AO8"/>
  <c r="AQ48" l="1"/>
  <c r="AL9"/>
  <c r="AL10"/>
  <c r="AL11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L38"/>
  <c r="AL39"/>
  <c r="AL40"/>
  <c r="AL41"/>
  <c r="AL43"/>
  <c r="AL44"/>
  <c r="AL45"/>
  <c r="AL46"/>
  <c r="AL47"/>
  <c r="AL8"/>
  <c r="AL48" l="1"/>
  <c r="AK9"/>
  <c r="AK10"/>
  <c r="AK11"/>
  <c r="AK12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38"/>
  <c r="AK40"/>
  <c r="AK41"/>
  <c r="AK42"/>
  <c r="AK43"/>
  <c r="AK44"/>
  <c r="AK45"/>
  <c r="AK46"/>
  <c r="AK47"/>
  <c r="AK8"/>
  <c r="AK48" l="1"/>
  <c r="AI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35"/>
  <c r="AI36"/>
  <c r="AI37"/>
  <c r="AI38"/>
  <c r="AI40"/>
  <c r="AI41"/>
  <c r="AI42"/>
  <c r="AI43"/>
  <c r="AI44"/>
  <c r="AI45"/>
  <c r="AI46"/>
  <c r="AI47"/>
  <c r="AI8"/>
  <c r="AI48" l="1"/>
  <c r="AH9"/>
  <c r="AH10"/>
  <c r="AH11"/>
  <c r="AH12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H38"/>
  <c r="AH39"/>
  <c r="AH40"/>
  <c r="AH41"/>
  <c r="AH42"/>
  <c r="AH43"/>
  <c r="AH45"/>
  <c r="AH46"/>
  <c r="AH47"/>
  <c r="AH8"/>
  <c r="AH48" l="1"/>
  <c r="AF9"/>
  <c r="AF10"/>
  <c r="AF1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F35"/>
  <c r="AF36"/>
  <c r="AF37"/>
  <c r="AF38"/>
  <c r="AF39"/>
  <c r="AF40"/>
  <c r="AF41"/>
  <c r="AF43"/>
  <c r="AF44"/>
  <c r="AF45"/>
  <c r="AF46"/>
  <c r="AF47"/>
  <c r="AF8"/>
  <c r="AF48" s="1"/>
  <c r="AE9" l="1"/>
  <c r="AE10"/>
  <c r="AE11"/>
  <c r="AE12"/>
  <c r="AE13"/>
  <c r="AE14"/>
  <c r="AE15"/>
  <c r="AE16"/>
  <c r="AE17"/>
  <c r="AE18"/>
  <c r="AE19"/>
  <c r="AE20"/>
  <c r="AE21"/>
  <c r="AE22"/>
  <c r="AE23"/>
  <c r="AE24"/>
  <c r="AE25"/>
  <c r="AE26"/>
  <c r="AE27"/>
  <c r="AE28"/>
  <c r="AE29"/>
  <c r="AE30"/>
  <c r="AE31"/>
  <c r="AE32"/>
  <c r="AE33"/>
  <c r="AE34"/>
  <c r="AE35"/>
  <c r="AE36"/>
  <c r="AE37"/>
  <c r="AE38"/>
  <c r="AE40"/>
  <c r="AE41"/>
  <c r="AE42"/>
  <c r="AE43"/>
  <c r="AE44"/>
  <c r="AE45"/>
  <c r="AE46"/>
  <c r="AE47"/>
  <c r="AE8"/>
  <c r="AE48" l="1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4"/>
  <c r="AD45"/>
  <c r="AD46"/>
  <c r="AD47"/>
  <c r="AD8"/>
  <c r="AD48" l="1"/>
  <c r="AC29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30"/>
  <c r="AC31"/>
  <c r="AC32"/>
  <c r="AC33"/>
  <c r="AC34"/>
  <c r="AC35"/>
  <c r="AC36"/>
  <c r="AC37"/>
  <c r="AC38"/>
  <c r="AC40"/>
  <c r="AC41"/>
  <c r="AC42"/>
  <c r="AC43"/>
  <c r="AC44"/>
  <c r="AC45"/>
  <c r="AC46"/>
  <c r="AC47"/>
  <c r="AC8"/>
  <c r="AC48" l="1"/>
  <c r="AA4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40"/>
  <c r="AB41"/>
  <c r="AB42"/>
  <c r="AB43"/>
  <c r="AB44"/>
  <c r="AB45"/>
  <c r="AB46"/>
  <c r="AB47"/>
  <c r="AB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8"/>
  <c r="Z48" s="1"/>
  <c r="AB48" l="1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40"/>
  <c r="X41"/>
  <c r="X42"/>
  <c r="X43"/>
  <c r="X44"/>
  <c r="X45"/>
  <c r="X46"/>
  <c r="X47"/>
  <c r="X8"/>
  <c r="X48" l="1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5"/>
  <c r="W46"/>
  <c r="W47"/>
  <c r="W8"/>
  <c r="W48" l="1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8"/>
  <c r="U9" l="1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40"/>
  <c r="U41"/>
  <c r="U42"/>
  <c r="U43"/>
  <c r="U44"/>
  <c r="U45"/>
  <c r="U46"/>
  <c r="U47"/>
  <c r="U8"/>
  <c r="U48" l="1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5"/>
  <c r="T46"/>
  <c r="T47"/>
  <c r="T8"/>
  <c r="T48" l="1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40"/>
  <c r="S41"/>
  <c r="S42"/>
  <c r="S43"/>
  <c r="S44"/>
  <c r="S45"/>
  <c r="S46"/>
  <c r="S47"/>
  <c r="S8"/>
  <c r="S48" l="1"/>
  <c r="R32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3"/>
  <c r="R34"/>
  <c r="R35"/>
  <c r="R36"/>
  <c r="R37"/>
  <c r="R38"/>
  <c r="R39"/>
  <c r="R40"/>
  <c r="R41"/>
  <c r="R42"/>
  <c r="R43"/>
  <c r="R44"/>
  <c r="R45"/>
  <c r="R46"/>
  <c r="R47"/>
  <c r="R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40"/>
  <c r="Q41"/>
  <c r="Q42"/>
  <c r="Q43"/>
  <c r="Q44"/>
  <c r="Q45"/>
  <c r="Q46"/>
  <c r="Q47"/>
  <c r="Q8"/>
  <c r="Q48" l="1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5"/>
  <c r="P46"/>
  <c r="P47"/>
  <c r="P8"/>
  <c r="P48" l="1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40"/>
  <c r="O41"/>
  <c r="O42"/>
  <c r="O43"/>
  <c r="O44"/>
  <c r="O45"/>
  <c r="O46"/>
  <c r="O47"/>
  <c r="O8"/>
  <c r="O48" l="1"/>
  <c r="M32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3"/>
  <c r="M34"/>
  <c r="M35"/>
  <c r="M36"/>
  <c r="M37"/>
  <c r="M38"/>
  <c r="M40"/>
  <c r="M41"/>
  <c r="M42"/>
  <c r="M43"/>
  <c r="M44"/>
  <c r="M45"/>
  <c r="M46"/>
  <c r="M47"/>
  <c r="M8" l="1"/>
  <c r="M48" s="1"/>
  <c r="L9" l="1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40"/>
  <c r="L41"/>
  <c r="L42"/>
  <c r="L43"/>
  <c r="L44"/>
  <c r="L45"/>
  <c r="L46"/>
  <c r="L47"/>
  <c r="L8"/>
  <c r="L48" l="1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5"/>
  <c r="J46"/>
  <c r="J47"/>
  <c r="J8"/>
  <c r="J48" l="1"/>
  <c r="I41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3"/>
  <c r="I44"/>
  <c r="I45"/>
  <c r="I46"/>
  <c r="I47"/>
  <c r="I8"/>
  <c r="I48" l="1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5"/>
  <c r="H46"/>
  <c r="H47"/>
  <c r="H8"/>
  <c r="H48" l="1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40"/>
  <c r="G41"/>
  <c r="G42"/>
  <c r="G43"/>
  <c r="G44"/>
  <c r="G45"/>
  <c r="G46"/>
  <c r="G47"/>
  <c r="G8"/>
  <c r="G48" l="1"/>
  <c r="R48"/>
  <c r="V48"/>
  <c r="AO4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40"/>
  <c r="F41"/>
  <c r="F42"/>
  <c r="F43"/>
  <c r="F44"/>
  <c r="F45"/>
  <c r="F46"/>
  <c r="F47"/>
  <c r="F8"/>
  <c r="F48" l="1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4"/>
  <c r="E45"/>
  <c r="E46"/>
  <c r="E47"/>
  <c r="E8"/>
  <c r="E48" l="1"/>
  <c r="D49"/>
  <c r="D9"/>
  <c r="AS9" s="1"/>
  <c r="D10"/>
  <c r="AS10" s="1"/>
  <c r="D11"/>
  <c r="AS11" s="1"/>
  <c r="D12"/>
  <c r="AS12" s="1"/>
  <c r="D13"/>
  <c r="AS13" s="1"/>
  <c r="D14"/>
  <c r="AS14" s="1"/>
  <c r="D15"/>
  <c r="AS15" s="1"/>
  <c r="D16"/>
  <c r="AS16" s="1"/>
  <c r="D17"/>
  <c r="AS17" s="1"/>
  <c r="D18"/>
  <c r="AS18" s="1"/>
  <c r="D19"/>
  <c r="AS19" s="1"/>
  <c r="D20"/>
  <c r="AS20" s="1"/>
  <c r="D21"/>
  <c r="AS21" s="1"/>
  <c r="D22"/>
  <c r="AS22" s="1"/>
  <c r="D23"/>
  <c r="AS23" s="1"/>
  <c r="D24"/>
  <c r="AS24" s="1"/>
  <c r="D25"/>
  <c r="AS25" s="1"/>
  <c r="D26"/>
  <c r="AS26" s="1"/>
  <c r="D27"/>
  <c r="AS27" s="1"/>
  <c r="D28"/>
  <c r="AS28" s="1"/>
  <c r="D29"/>
  <c r="AS29" s="1"/>
  <c r="D30"/>
  <c r="AS30" s="1"/>
  <c r="D31"/>
  <c r="AS31" s="1"/>
  <c r="D32"/>
  <c r="AS32" s="1"/>
  <c r="D33"/>
  <c r="AS33" s="1"/>
  <c r="D34"/>
  <c r="AS34" s="1"/>
  <c r="D35"/>
  <c r="AS35" s="1"/>
  <c r="D36"/>
  <c r="AS36" s="1"/>
  <c r="D37"/>
  <c r="AS37" s="1"/>
  <c r="D38"/>
  <c r="AS38" s="1"/>
  <c r="D39"/>
  <c r="AS39" s="1"/>
  <c r="D40"/>
  <c r="AS40" s="1"/>
  <c r="D41"/>
  <c r="AS41" s="1"/>
  <c r="D42"/>
  <c r="AS42" s="1"/>
  <c r="D43"/>
  <c r="AS43" s="1"/>
  <c r="D44"/>
  <c r="AS44" s="1"/>
  <c r="D45"/>
  <c r="AS45" s="1"/>
  <c r="D46"/>
  <c r="AS46" s="1"/>
  <c r="D47"/>
  <c r="AS47" s="1"/>
  <c r="D8"/>
  <c r="AS8" s="1"/>
  <c r="AS48" l="1"/>
  <c r="D48"/>
  <c r="AS50" s="1"/>
  <c r="AS52" l="1"/>
  <c r="D38" i="7"/>
  <c r="E38" s="1"/>
  <c r="C33"/>
  <c r="C3"/>
  <c r="C4"/>
  <c r="C5"/>
  <c r="D10"/>
  <c r="E10" s="1"/>
  <c r="C18"/>
  <c r="C19"/>
  <c r="C20"/>
  <c r="D25"/>
  <c r="E25" s="1"/>
  <c r="C41" i="4"/>
  <c r="A24" i="6"/>
  <c r="G5" i="2"/>
  <c r="G6"/>
  <c r="G7"/>
  <c r="G8"/>
  <c r="G9"/>
  <c r="G10"/>
  <c r="G19" i="5"/>
  <c r="G18"/>
  <c r="G23"/>
  <c r="F18"/>
  <c r="E19"/>
  <c r="E23" s="1"/>
  <c r="E18"/>
  <c r="E20" i="4"/>
  <c r="E26"/>
  <c r="E28"/>
  <c r="E47"/>
  <c r="E34"/>
  <c r="E39"/>
  <c r="B39"/>
  <c r="B34"/>
  <c r="B26"/>
  <c r="B20"/>
  <c r="B12" i="2"/>
  <c r="E27" i="5"/>
  <c r="D40"/>
  <c r="G7"/>
  <c r="G8"/>
  <c r="G9"/>
  <c r="G10"/>
  <c r="G11"/>
  <c r="G12"/>
  <c r="G13"/>
  <c r="G14"/>
  <c r="G15"/>
  <c r="G16"/>
  <c r="D5" i="2"/>
  <c r="D6"/>
  <c r="D7"/>
  <c r="D8"/>
  <c r="D9"/>
  <c r="D10"/>
  <c r="G22" i="4"/>
  <c r="G23"/>
  <c r="G24"/>
  <c r="G5"/>
  <c r="G6"/>
  <c r="G7"/>
  <c r="G8"/>
  <c r="G9"/>
  <c r="G10"/>
  <c r="G11"/>
  <c r="G12"/>
  <c r="G13"/>
  <c r="G14"/>
  <c r="G15"/>
  <c r="G16"/>
  <c r="G17"/>
  <c r="G18"/>
  <c r="B28"/>
  <c r="E28" i="5"/>
  <c r="E29"/>
  <c r="E30"/>
  <c r="E31"/>
  <c r="E32"/>
  <c r="E33"/>
  <c r="E34"/>
  <c r="E35"/>
  <c r="E36"/>
  <c r="E37"/>
  <c r="E38"/>
  <c r="F19"/>
  <c r="F23" l="1"/>
  <c r="F41" i="4"/>
  <c r="G26"/>
  <c r="G20"/>
  <c r="G13" i="2"/>
  <c r="D13" i="7"/>
  <c r="D28"/>
  <c r="D12"/>
  <c r="D26"/>
  <c r="F10"/>
  <c r="E12"/>
  <c r="E11"/>
  <c r="E13"/>
  <c r="F25"/>
  <c r="E27"/>
  <c r="E26"/>
  <c r="E28"/>
  <c r="D11"/>
  <c r="D27"/>
  <c r="E39"/>
  <c r="F38"/>
  <c r="D39"/>
  <c r="G28" i="4" l="1"/>
  <c r="F43"/>
  <c r="F31"/>
  <c r="F32"/>
  <c r="F23"/>
  <c r="F22"/>
  <c r="F24"/>
  <c r="F7"/>
  <c r="F11"/>
  <c r="F15"/>
  <c r="F6"/>
  <c r="F10"/>
  <c r="F14"/>
  <c r="F18"/>
  <c r="F5"/>
  <c r="F9"/>
  <c r="F13"/>
  <c r="F17"/>
  <c r="F8"/>
  <c r="F12"/>
  <c r="F16"/>
  <c r="E9" i="2"/>
  <c r="H9" s="1"/>
  <c r="E5"/>
  <c r="E6"/>
  <c r="H6" s="1"/>
  <c r="E3"/>
  <c r="E7"/>
  <c r="H7" s="1"/>
  <c r="E10"/>
  <c r="H10" s="1"/>
  <c r="E8"/>
  <c r="H8" s="1"/>
  <c r="F37" i="4"/>
  <c r="F36"/>
  <c r="F27" i="7"/>
  <c r="G25"/>
  <c r="F26"/>
  <c r="F28"/>
  <c r="F11"/>
  <c r="F13"/>
  <c r="F12"/>
  <c r="G10"/>
  <c r="G38"/>
  <c r="F39"/>
  <c r="F39" i="4" l="1"/>
  <c r="H5" i="2"/>
  <c r="H15" s="1"/>
  <c r="E12"/>
  <c r="F26" i="4"/>
  <c r="F34"/>
  <c r="F20"/>
  <c r="H10" i="7"/>
  <c r="G12"/>
  <c r="G11"/>
  <c r="G13"/>
  <c r="G26"/>
  <c r="G28"/>
  <c r="H25"/>
  <c r="G27"/>
  <c r="G39"/>
  <c r="H38"/>
  <c r="F28" i="4" l="1"/>
  <c r="F45" s="1"/>
  <c r="H27" i="7"/>
  <c r="I25"/>
  <c r="H26"/>
  <c r="H28"/>
  <c r="H11"/>
  <c r="H13"/>
  <c r="H12"/>
  <c r="I10"/>
  <c r="I38"/>
  <c r="H39"/>
  <c r="E48" i="4" l="1"/>
  <c r="J10" i="7"/>
  <c r="I12"/>
  <c r="I11"/>
  <c r="I13"/>
  <c r="J25"/>
  <c r="I27"/>
  <c r="I26"/>
  <c r="I28"/>
  <c r="I39"/>
  <c r="J38"/>
  <c r="F50" i="4" l="1"/>
  <c r="J27" i="7"/>
  <c r="K25"/>
  <c r="J26"/>
  <c r="J28"/>
  <c r="J12"/>
  <c r="K10"/>
  <c r="J11"/>
  <c r="J13"/>
  <c r="K38"/>
  <c r="J39"/>
  <c r="K11" l="1"/>
  <c r="K13"/>
  <c r="L10"/>
  <c r="K12"/>
  <c r="K26"/>
  <c r="K28"/>
  <c r="L25"/>
  <c r="K27"/>
  <c r="K39"/>
  <c r="L38"/>
  <c r="L27" l="1"/>
  <c r="M25"/>
  <c r="L26"/>
  <c r="L28"/>
  <c r="L12"/>
  <c r="M10"/>
  <c r="L11"/>
  <c r="L13"/>
  <c r="M38"/>
  <c r="L39"/>
  <c r="M11" l="1"/>
  <c r="M13"/>
  <c r="N10"/>
  <c r="M12"/>
  <c r="M26"/>
  <c r="M28"/>
  <c r="N25"/>
  <c r="M27"/>
  <c r="M39"/>
  <c r="N38"/>
  <c r="N27" l="1"/>
  <c r="O25"/>
  <c r="N26"/>
  <c r="N28"/>
  <c r="N11"/>
  <c r="N13"/>
  <c r="N12"/>
  <c r="O10"/>
  <c r="O38"/>
  <c r="M33" s="1"/>
  <c r="N39"/>
  <c r="M4" l="1"/>
  <c r="O12"/>
  <c r="P12" s="1"/>
  <c r="Q12" s="1"/>
  <c r="O11"/>
  <c r="P11" s="1"/>
  <c r="Q11" s="1"/>
  <c r="O13"/>
  <c r="P13" s="1"/>
  <c r="Q13" s="1"/>
  <c r="O26"/>
  <c r="P26" s="1"/>
  <c r="Q26" s="1"/>
  <c r="O28"/>
  <c r="P28" s="1"/>
  <c r="Q28" s="1"/>
  <c r="M19"/>
  <c r="O27"/>
  <c r="P27" s="1"/>
  <c r="Q27" s="1"/>
  <c r="O39"/>
  <c r="P39" s="1"/>
  <c r="Q39" s="1"/>
  <c r="Q36" l="1"/>
  <c r="Q23"/>
  <c r="Q8"/>
  <c r="Q41" l="1"/>
</calcChain>
</file>

<file path=xl/comments1.xml><?xml version="1.0" encoding="utf-8"?>
<comments xmlns="http://schemas.openxmlformats.org/spreadsheetml/2006/main">
  <authors>
    <author>lienka</author>
  </authors>
  <commentList>
    <comment ref="AA5" authorId="0">
      <text>
        <r>
          <rPr>
            <b/>
            <sz val="9"/>
            <color indexed="81"/>
            <rFont val="Tahoma"/>
            <family val="2"/>
          </rPr>
          <t>lienka:</t>
        </r>
        <r>
          <rPr>
            <sz val="9"/>
            <color indexed="81"/>
            <rFont val="Tahoma"/>
            <family val="2"/>
          </rPr>
          <t xml:space="preserve">
Ingen avtale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>lienka:</t>
        </r>
        <r>
          <rPr>
            <sz val="9"/>
            <color indexed="81"/>
            <rFont val="Tahoma"/>
            <family val="2"/>
          </rPr>
          <t xml:space="preserve">
Fradrag for mye betalt i 2009</t>
        </r>
      </text>
    </comment>
    <comment ref="L15" authorId="0">
      <text>
        <r>
          <rPr>
            <b/>
            <sz val="9"/>
            <color indexed="81"/>
            <rFont val="Tahoma"/>
            <family val="2"/>
          </rPr>
          <t>lienka:</t>
        </r>
        <r>
          <rPr>
            <sz val="9"/>
            <color indexed="81"/>
            <rFont val="Tahoma"/>
            <family val="2"/>
          </rPr>
          <t xml:space="preserve">
Fradrag for mye betalt i 2007</t>
        </r>
      </text>
    </comment>
    <comment ref="AG15" authorId="0">
      <text>
        <r>
          <rPr>
            <b/>
            <sz val="9"/>
            <color indexed="81"/>
            <rFont val="Tahoma"/>
            <family val="2"/>
          </rPr>
          <t>lienka:</t>
        </r>
        <r>
          <rPr>
            <sz val="9"/>
            <color indexed="81"/>
            <rFont val="Tahoma"/>
            <family val="2"/>
          </rPr>
          <t xml:space="preserve">
Fradrag for Bergen kommune</t>
        </r>
      </text>
    </comment>
    <comment ref="AJ15" authorId="0">
      <text>
        <r>
          <rPr>
            <b/>
            <sz val="9"/>
            <color indexed="81"/>
            <rFont val="Tahoma"/>
            <family val="2"/>
          </rPr>
          <t>lienka:</t>
        </r>
        <r>
          <rPr>
            <sz val="9"/>
            <color indexed="81"/>
            <rFont val="Tahoma"/>
            <family val="2"/>
          </rPr>
          <t xml:space="preserve">
Fradrag for Bergen kommune</t>
        </r>
      </text>
    </comment>
    <comment ref="AP15" authorId="0">
      <text>
        <r>
          <rPr>
            <b/>
            <sz val="9"/>
            <color indexed="81"/>
            <rFont val="Tahoma"/>
            <family val="2"/>
          </rPr>
          <t>lienka:</t>
        </r>
        <r>
          <rPr>
            <sz val="9"/>
            <color indexed="81"/>
            <rFont val="Tahoma"/>
            <family val="2"/>
          </rPr>
          <t xml:space="preserve">
Fradrag for Bergen kommune</t>
        </r>
      </text>
    </comment>
    <comment ref="AI27" authorId="0">
      <text>
        <r>
          <rPr>
            <b/>
            <sz val="9"/>
            <color indexed="81"/>
            <rFont val="Tahoma"/>
            <family val="2"/>
          </rPr>
          <t>lienka:</t>
        </r>
        <r>
          <rPr>
            <sz val="9"/>
            <color indexed="81"/>
            <rFont val="Tahoma"/>
            <family val="2"/>
          </rPr>
          <t xml:space="preserve">
Se merknad nederst</t>
        </r>
      </text>
    </comment>
    <comment ref="G32" authorId="0">
      <text>
        <r>
          <rPr>
            <b/>
            <sz val="9"/>
            <color indexed="81"/>
            <rFont val="Tahoma"/>
            <family val="2"/>
          </rPr>
          <t>lienka:</t>
        </r>
        <r>
          <rPr>
            <sz val="9"/>
            <color indexed="81"/>
            <rFont val="Tahoma"/>
            <family val="2"/>
          </rPr>
          <t xml:space="preserve">
Fradrag for mye betalt i 2009</t>
        </r>
      </text>
    </comment>
    <comment ref="M32" authorId="0">
      <text>
        <r>
          <rPr>
            <b/>
            <sz val="9"/>
            <color indexed="81"/>
            <rFont val="Tahoma"/>
            <family val="2"/>
          </rPr>
          <t>lienka:</t>
        </r>
        <r>
          <rPr>
            <sz val="9"/>
            <color indexed="81"/>
            <rFont val="Tahoma"/>
            <family val="2"/>
          </rPr>
          <t xml:space="preserve">
Avtale med Kartverket, vektor dybdeinformasjon</t>
        </r>
      </text>
    </comment>
    <comment ref="R32" authorId="0">
      <text>
        <r>
          <rPr>
            <b/>
            <sz val="9"/>
            <color indexed="81"/>
            <rFont val="Tahoma"/>
            <family val="2"/>
          </rPr>
          <t>lienka:</t>
        </r>
        <r>
          <rPr>
            <sz val="9"/>
            <color indexed="81"/>
            <rFont val="Tahoma"/>
            <family val="2"/>
          </rPr>
          <t xml:space="preserve">
Avtale med Kartverket, vektor dybdeinformasjon</t>
        </r>
      </text>
    </comment>
    <comment ref="AJ32" authorId="0">
      <text>
        <r>
          <rPr>
            <b/>
            <sz val="9"/>
            <color indexed="81"/>
            <rFont val="Tahoma"/>
            <family val="2"/>
          </rPr>
          <t>lienka:</t>
        </r>
        <r>
          <rPr>
            <sz val="9"/>
            <color indexed="81"/>
            <rFont val="Tahoma"/>
            <family val="2"/>
          </rPr>
          <t xml:space="preserve">
Vbase og elveg</t>
        </r>
      </text>
    </comment>
    <comment ref="AI48" authorId="0">
      <text>
        <r>
          <rPr>
            <b/>
            <sz val="9"/>
            <color indexed="81"/>
            <rFont val="Tahoma"/>
            <family val="2"/>
          </rPr>
          <t>lienka:</t>
        </r>
        <r>
          <rPr>
            <sz val="9"/>
            <color indexed="81"/>
            <rFont val="Tahoma"/>
            <family val="2"/>
          </rPr>
          <t xml:space="preserve">
Skal reduseres til 348 650, 5 000 for mye på matrikkel</t>
        </r>
      </text>
    </comment>
  </commentList>
</comments>
</file>

<file path=xl/sharedStrings.xml><?xml version="1.0" encoding="utf-8"?>
<sst xmlns="http://schemas.openxmlformats.org/spreadsheetml/2006/main" count="241" uniqueCount="201">
  <si>
    <t>Land</t>
  </si>
  <si>
    <t>Eiendom</t>
  </si>
  <si>
    <t>Geodesi</t>
  </si>
  <si>
    <t>Sjø</t>
  </si>
  <si>
    <t>Andre data</t>
  </si>
  <si>
    <t>Sum</t>
  </si>
  <si>
    <t>Ortofoto</t>
  </si>
  <si>
    <t>OF-forvaltning</t>
  </si>
  <si>
    <t>Transformasjoner og fastmerker</t>
  </si>
  <si>
    <t>Dybdeinformasjon</t>
  </si>
  <si>
    <t>FKB og DEK</t>
  </si>
  <si>
    <t>Tilgjengelig</t>
  </si>
  <si>
    <t>antall mnd.</t>
  </si>
  <si>
    <t>N50Kartdata</t>
  </si>
  <si>
    <t>N250Kartdata</t>
  </si>
  <si>
    <t>N500Kartdata</t>
  </si>
  <si>
    <t>N1000Kartdata</t>
  </si>
  <si>
    <t>N2000Kartdata</t>
  </si>
  <si>
    <t>N5000Kartdata</t>
  </si>
  <si>
    <t>N50Raster</t>
  </si>
  <si>
    <t>N250Raster</t>
  </si>
  <si>
    <t>N500Raster</t>
  </si>
  <si>
    <t>N1000Raster</t>
  </si>
  <si>
    <t>N2000Raster</t>
  </si>
  <si>
    <t>N5000Raster</t>
  </si>
  <si>
    <t>DTM</t>
  </si>
  <si>
    <t>Adm.grenser</t>
  </si>
  <si>
    <t>Sum "gruppe 1"</t>
  </si>
  <si>
    <t>Vbase</t>
  </si>
  <si>
    <t>Elveg</t>
  </si>
  <si>
    <t>NRL</t>
  </si>
  <si>
    <t>Sum SK-Land</t>
  </si>
  <si>
    <t>WSK_Trans</t>
  </si>
  <si>
    <t>Fastmerkeregister</t>
  </si>
  <si>
    <t>Sum SK-Geodesi</t>
  </si>
  <si>
    <t>Vektor dybdeinformasjon</t>
  </si>
  <si>
    <t>Sum SK-Sjø</t>
  </si>
  <si>
    <t>*SSR inngår, men produktet er vederlagsfritt ihht. Vedtak i Stortinget</t>
  </si>
  <si>
    <t>Omløpsfotografering (Bm 1:35. - 40.000)</t>
  </si>
  <si>
    <t>Oslo</t>
  </si>
  <si>
    <t>Bærum</t>
  </si>
  <si>
    <t>Drammen</t>
  </si>
  <si>
    <t>Stavanger</t>
  </si>
  <si>
    <t>Bergen</t>
  </si>
  <si>
    <t>Trondheim</t>
  </si>
  <si>
    <t>Enhetspris</t>
  </si>
  <si>
    <t>Antall mnd. tilgjengelig</t>
  </si>
  <si>
    <t>Årskostnad Norge digitalt</t>
  </si>
  <si>
    <t>Sum "gruppe 2"*</t>
  </si>
  <si>
    <t>Fradrag for andre avtaler</t>
  </si>
  <si>
    <t>Totalt ordinær kostnad SK basis geodata</t>
  </si>
  <si>
    <t>FKB, DEK og ortofoto fra Geovekst</t>
  </si>
  <si>
    <t>Data fra Statens kartverk</t>
  </si>
  <si>
    <t>N50-N5000 Kartdata/Raster, DTM, ortofoto og Adm.grenser</t>
  </si>
  <si>
    <t>Vbase*), Elveg*), SSR** og NRL</t>
  </si>
  <si>
    <t>Ortofoto forvaltningsløsning</t>
  </si>
  <si>
    <t>Sum kostnader andre avtaler</t>
  </si>
  <si>
    <t>Fradrag for kostnader andre avtaler</t>
  </si>
  <si>
    <t>Årskostnad andre kommuner</t>
  </si>
  <si>
    <t>Fradrag i årskostnad for andre avtaler</t>
  </si>
  <si>
    <t>Ordinær årskostnad "andre kommuner"</t>
  </si>
  <si>
    <t>Avtale/ Rettigheter "A"</t>
  </si>
  <si>
    <t>FKB, DEK og ortofoto fra "Andre kommuner"</t>
  </si>
  <si>
    <t>Valgfrie data</t>
  </si>
  <si>
    <t>Svalbard 100.000, 250.000, 1 mill kartdata og 250.000 raster og Jan Mayen</t>
  </si>
  <si>
    <t>1:1 mill.kartdatabase nordre deler Norge, Sverige, Finland og NV-del Russland</t>
  </si>
  <si>
    <t>Data fra Norsk Polarinstitutt (enhetspris*nyttefaktor)</t>
  </si>
  <si>
    <t>Data fra Barents-GIT (enhetspris*nyttefaktor)</t>
  </si>
  <si>
    <t>Justert enhetspris</t>
  </si>
  <si>
    <t>***) Se arkfane Andre kommuner</t>
  </si>
  <si>
    <t>Ordinær årskostnad FKB, DEK og ortofoto ***)</t>
  </si>
  <si>
    <t>Raster sjøkart</t>
  </si>
  <si>
    <t>ÅRSKOSTNADER I NORGE DIGITALT</t>
  </si>
  <si>
    <t>Prod. Nr.</t>
  </si>
  <si>
    <t>NE21242000</t>
  </si>
  <si>
    <t>NE21242300</t>
  </si>
  <si>
    <t>NE21242310</t>
  </si>
  <si>
    <t>Produktnavn</t>
  </si>
  <si>
    <t>Norges eiendommer basis-versjon</t>
  </si>
  <si>
    <t>Norges eiendommer eksport-versjon eiendoms-informasjon</t>
  </si>
  <si>
    <t>Norges eiendommer eksport-versjon all informasjon</t>
  </si>
  <si>
    <t>Tillegg pr. fylke - max. 10</t>
  </si>
  <si>
    <t>Antall dager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</si>
  <si>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</si>
  <si>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</si>
  <si>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</si>
  <si>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</si>
  <si>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</si>
  <si>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</si>
  <si>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</si>
  <si>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</si>
  <si>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</si>
  <si>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</si>
  <si>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</si>
  <si>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</si>
  <si>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Årskostnad - Basis</t>
  </si>
  <si>
    <t>Fra</t>
  </si>
  <si>
    <t>Til</t>
  </si>
  <si>
    <t>Abonnementsperiode (Dager)</t>
  </si>
  <si>
    <t>Dato</t>
  </si>
  <si>
    <t>Produktkostnad 365 dager</t>
  </si>
  <si>
    <t>Matrikkel</t>
  </si>
  <si>
    <t>Norges eiendommer - Basis</t>
  </si>
  <si>
    <t>Norges eiendommer - Eksport Matrikkelinformasjon</t>
  </si>
  <si>
    <t>Norges eiendommer - Eksport matrikkel- og eierinformasjon</t>
  </si>
  <si>
    <t xml:space="preserve">Bilag 1 </t>
  </si>
  <si>
    <t>Fradrag for "andre avtaler"***)</t>
  </si>
  <si>
    <t>Posisjoneringstjenester fra Statens kartverk</t>
  </si>
  <si>
    <t>Årskostnad (obligatoriske) Basis geodata fra SK</t>
  </si>
  <si>
    <t>Obligatoriske data fra Kartverket</t>
  </si>
  <si>
    <t>Enhetskost</t>
  </si>
  <si>
    <t>SK-produkter 2010</t>
  </si>
  <si>
    <t>Abonn.avtale/Andre avtaler</t>
  </si>
  <si>
    <t xml:space="preserve">Rettigheter 2010 </t>
  </si>
  <si>
    <t>Kostnad 2010</t>
  </si>
  <si>
    <t>Partskostnad ND 2010</t>
  </si>
  <si>
    <t>Nyttefaktor 2010</t>
  </si>
  <si>
    <t>Rettigheter / andre avtaler i 2010</t>
  </si>
  <si>
    <t>Ordinær årskostnad 2010</t>
  </si>
  <si>
    <t>Årskostnad 2010</t>
  </si>
  <si>
    <t>Lisenser</t>
  </si>
  <si>
    <t>Pr. lisens</t>
  </si>
  <si>
    <t>Pr. mnd</t>
  </si>
  <si>
    <t>Jan</t>
  </si>
  <si>
    <t>Feb</t>
  </si>
  <si>
    <t>Mar</t>
  </si>
  <si>
    <t>Apr</t>
  </si>
  <si>
    <t>Jun</t>
  </si>
  <si>
    <t>Jul</t>
  </si>
  <si>
    <t>Aug</t>
  </si>
  <si>
    <t>Sep</t>
  </si>
  <si>
    <t>Okt</t>
  </si>
  <si>
    <t>Nov</t>
  </si>
  <si>
    <t>Des</t>
  </si>
  <si>
    <t>Sum mnd.</t>
  </si>
  <si>
    <t>Årskostnad</t>
  </si>
  <si>
    <t>Aktive lisenser pr. mnd.</t>
  </si>
  <si>
    <t>Kostnad lisens 1 - 2</t>
  </si>
  <si>
    <t>Kostnad lisens 3 - 5</t>
  </si>
  <si>
    <t>Kostnad lisens 6 eller flere</t>
  </si>
  <si>
    <t>SUM ÅRSKOSTNAD POSISJONERINGSTJENESTER (CPOS, DPOS og DPOS-spesial) 2010</t>
  </si>
  <si>
    <t>Kostnad lisener</t>
  </si>
  <si>
    <t>**) SSR inngår, men produktet er vederlagsfritt ihht. vedtak i Stortinget</t>
  </si>
  <si>
    <t>*) Statens vegvesen og Statens kartverk er rettighetshavere i fellesskap</t>
  </si>
  <si>
    <t>Evt. fratrekk for kostnader til andre avtaler for basis geodata fra Statens kartverk</t>
  </si>
  <si>
    <t>CPOS</t>
  </si>
  <si>
    <t>DPOS</t>
  </si>
  <si>
    <t>DPOS spesial</t>
  </si>
  <si>
    <t>CPOS-kostnadsmodell</t>
  </si>
  <si>
    <t>Antall CPOS-lisenser</t>
  </si>
  <si>
    <t>CPOS-lisenser (start måned)</t>
  </si>
  <si>
    <t>DPOS-kostnadsmodell</t>
  </si>
  <si>
    <t>Antall DPOS-lisenser</t>
  </si>
  <si>
    <t>DPOS-lisenser (start måned)</t>
  </si>
  <si>
    <t>DPOS-spesialmodell</t>
  </si>
  <si>
    <t>Antall DPOS-spesial</t>
  </si>
  <si>
    <t>Artsdatabanken</t>
  </si>
  <si>
    <t>Fiskeridiriktoratat</t>
  </si>
  <si>
    <t>Havforskningsinstituttet</t>
  </si>
  <si>
    <t>Kystverket/Kystdirektoratet</t>
  </si>
  <si>
    <t>Fylkesmannsembetene</t>
  </si>
  <si>
    <t>Forsvarsdepartementet m/alle underliggende etater</t>
  </si>
  <si>
    <t>Statens strålevern</t>
  </si>
  <si>
    <t>Domstoladministrasjonen, enhet for jordskifte</t>
  </si>
  <si>
    <t>Politi- og lensmannsetaten</t>
  </si>
  <si>
    <t>Meteorologisk institutt</t>
  </si>
  <si>
    <t>Utdanningsdirektoratet</t>
  </si>
  <si>
    <t>Bioforsk</t>
  </si>
  <si>
    <t>Mattilsynet</t>
  </si>
  <si>
    <t>Reindriftsforvaltningen</t>
  </si>
  <si>
    <t>Statskog SF</t>
  </si>
  <si>
    <t>Veterinærinstituttet</t>
  </si>
  <si>
    <t>Riksantikvaren (RA)</t>
  </si>
  <si>
    <t>Statens kartverk</t>
  </si>
  <si>
    <t>Avinor</t>
  </si>
  <si>
    <t>Jernbaneverket</t>
  </si>
  <si>
    <t>Statens vegvesen Vegdirektoratet</t>
  </si>
  <si>
    <t>Departementene - v/ MD</t>
  </si>
  <si>
    <t>Finnmarkseiendommen</t>
  </si>
  <si>
    <t>Sametinget</t>
  </si>
  <si>
    <t>Statkraft Energi</t>
  </si>
  <si>
    <t>Statnett SF</t>
  </si>
  <si>
    <t>Statsbygg</t>
  </si>
  <si>
    <t>Telenor</t>
  </si>
  <si>
    <t>Difi</t>
  </si>
  <si>
    <t>DN</t>
  </si>
  <si>
    <t>DSB</t>
  </si>
  <si>
    <t>Klif</t>
  </si>
  <si>
    <t>DNT</t>
  </si>
  <si>
    <t>NGU</t>
  </si>
  <si>
    <t>NVE</t>
  </si>
  <si>
    <t>NIKU</t>
  </si>
  <si>
    <t>NINA</t>
  </si>
  <si>
    <t>Skog og landskap</t>
  </si>
  <si>
    <t>NIVA</t>
  </si>
  <si>
    <t>Polarinstituttet</t>
  </si>
  <si>
    <t>SLF</t>
  </si>
  <si>
    <t>SSB</t>
  </si>
  <si>
    <t>RHF - HINAS</t>
  </si>
  <si>
    <t>Summering landsdekkende parter 2010</t>
  </si>
  <si>
    <t>Oppdatert: 30.11.2010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</si>
</sst>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2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Tahoma"/>
      <family val="2"/>
    </font>
    <font>
      <b/>
      <sz val="12"/>
      <name val="Tahoma"/>
      <family val="2"/>
    </font>
    <font>
      <b/>
      <sz val="12"/>
      <name val="Arial Narrow"/>
      <family val="2"/>
    </font>
    <font>
      <sz val="12"/>
      <name val="Arial Narrow"/>
      <family val="2"/>
    </font>
    <font>
      <i/>
      <sz val="12"/>
      <name val="Arial Narrow"/>
      <family val="2"/>
    </font>
    <font>
      <b/>
      <i/>
      <sz val="12"/>
      <name val="Arial Narrow"/>
      <family val="2"/>
    </font>
    <font>
      <b/>
      <sz val="28"/>
      <name val="Arial Narrow"/>
      <family val="2"/>
    </font>
    <font>
      <b/>
      <i/>
      <sz val="16"/>
      <name val="Calibri"/>
      <family val="2"/>
    </font>
    <font>
      <sz val="9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28"/>
      <name val="Calibri"/>
      <family val="2"/>
    </font>
    <font>
      <b/>
      <sz val="16"/>
      <name val="Calibri"/>
      <family val="2"/>
    </font>
    <font>
      <b/>
      <sz val="12"/>
      <color rgb="FFFF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1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166" fontId="3" fillId="0" borderId="0" xfId="2" applyNumberFormat="1" applyFont="1"/>
    <xf numFmtId="0" fontId="4" fillId="0" borderId="0" xfId="0" applyFont="1"/>
    <xf numFmtId="0" fontId="6" fillId="0" borderId="0" xfId="0" applyFont="1"/>
    <xf numFmtId="0" fontId="5" fillId="0" borderId="0" xfId="0" applyFont="1"/>
    <xf numFmtId="166" fontId="6" fillId="0" borderId="0" xfId="2" applyNumberFormat="1" applyFont="1"/>
    <xf numFmtId="0" fontId="7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9" fontId="6" fillId="0" borderId="0" xfId="1" applyFont="1"/>
    <xf numFmtId="0" fontId="9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/>
    <xf numFmtId="166" fontId="13" fillId="0" borderId="0" xfId="0" applyNumberFormat="1" applyFont="1"/>
    <xf numFmtId="0" fontId="11" fillId="2" borderId="5" xfId="0" applyFont="1" applyFill="1" applyBorder="1" applyAlignment="1">
      <alignment horizontal="center" wrapText="1"/>
    </xf>
    <xf numFmtId="0" fontId="14" fillId="2" borderId="9" xfId="0" applyFont="1" applyFill="1" applyBorder="1"/>
    <xf numFmtId="0" fontId="11" fillId="2" borderId="10" xfId="0" applyFont="1" applyFill="1" applyBorder="1" applyAlignment="1">
      <alignment horizontal="right"/>
    </xf>
    <xf numFmtId="0" fontId="14" fillId="2" borderId="5" xfId="0" applyFont="1" applyFill="1" applyBorder="1"/>
    <xf numFmtId="0" fontId="11" fillId="2" borderId="5" xfId="0" applyFont="1" applyFill="1" applyBorder="1" applyAlignment="1">
      <alignment horizontal="right" wrapText="1"/>
    </xf>
    <xf numFmtId="0" fontId="15" fillId="2" borderId="5" xfId="0" applyFont="1" applyFill="1" applyBorder="1"/>
    <xf numFmtId="0" fontId="15" fillId="0" borderId="0" xfId="0" applyFont="1"/>
    <xf numFmtId="0" fontId="11" fillId="2" borderId="10" xfId="0" applyFont="1" applyFill="1" applyBorder="1" applyAlignment="1">
      <alignment horizontal="right" wrapText="1"/>
    </xf>
    <xf numFmtId="0" fontId="11" fillId="2" borderId="5" xfId="0" applyFont="1" applyFill="1" applyBorder="1"/>
    <xf numFmtId="0" fontId="11" fillId="2" borderId="5" xfId="0" applyFont="1" applyFill="1" applyBorder="1" applyAlignment="1">
      <alignment horizontal="left"/>
    </xf>
    <xf numFmtId="0" fontId="11" fillId="2" borderId="5" xfId="0" applyFont="1" applyFill="1" applyBorder="1" applyAlignment="1">
      <alignment horizontal="right"/>
    </xf>
    <xf numFmtId="0" fontId="11" fillId="3" borderId="5" xfId="0" applyFont="1" applyFill="1" applyBorder="1" applyAlignment="1">
      <alignment horizontal="right"/>
    </xf>
    <xf numFmtId="0" fontId="11" fillId="2" borderId="10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/>
    </xf>
    <xf numFmtId="0" fontId="14" fillId="3" borderId="5" xfId="0" applyFont="1" applyFill="1" applyBorder="1" applyAlignment="1">
      <alignment horizontal="left"/>
    </xf>
    <xf numFmtId="0" fontId="14" fillId="0" borderId="0" xfId="0" applyFont="1"/>
    <xf numFmtId="0" fontId="11" fillId="3" borderId="5" xfId="0" applyFont="1" applyFill="1" applyBorder="1" applyAlignment="1">
      <alignment horizontal="left"/>
    </xf>
    <xf numFmtId="0" fontId="13" fillId="3" borderId="11" xfId="0" applyFont="1" applyFill="1" applyBorder="1"/>
    <xf numFmtId="166" fontId="12" fillId="0" borderId="0" xfId="0" applyNumberFormat="1" applyFont="1"/>
    <xf numFmtId="0" fontId="13" fillId="0" borderId="0" xfId="0" applyFont="1" applyFill="1" applyBorder="1"/>
    <xf numFmtId="0" fontId="17" fillId="0" borderId="0" xfId="0" applyFont="1"/>
    <xf numFmtId="0" fontId="17" fillId="0" borderId="0" xfId="0" applyFont="1" applyAlignment="1">
      <alignment horizontal="center"/>
    </xf>
    <xf numFmtId="166" fontId="17" fillId="0" borderId="0" xfId="2" applyNumberFormat="1" applyFont="1"/>
    <xf numFmtId="166" fontId="17" fillId="0" borderId="0" xfId="2" applyNumberFormat="1" applyFont="1" applyAlignment="1">
      <alignment horizontal="center"/>
    </xf>
    <xf numFmtId="166" fontId="17" fillId="0" borderId="0" xfId="2" applyNumberFormat="1" applyFont="1" applyAlignment="1"/>
    <xf numFmtId="166" fontId="17" fillId="0" borderId="0" xfId="0" applyNumberFormat="1" applyFont="1" applyFill="1"/>
    <xf numFmtId="0" fontId="17" fillId="0" borderId="0" xfId="0" applyFont="1" applyAlignment="1">
      <alignment horizontal="right"/>
    </xf>
    <xf numFmtId="166" fontId="17" fillId="0" borderId="0" xfId="2" applyNumberFormat="1" applyFont="1" applyAlignment="1">
      <alignment horizontal="right"/>
    </xf>
    <xf numFmtId="166" fontId="17" fillId="0" borderId="0" xfId="0" applyNumberFormat="1" applyFont="1"/>
    <xf numFmtId="0" fontId="17" fillId="2" borderId="0" xfId="0" applyFont="1" applyFill="1"/>
    <xf numFmtId="166" fontId="17" fillId="2" borderId="0" xfId="2" applyNumberFormat="1" applyFont="1" applyFill="1" applyAlignment="1">
      <alignment horizontal="center"/>
    </xf>
    <xf numFmtId="166" fontId="17" fillId="2" borderId="0" xfId="2" applyNumberFormat="1" applyFont="1" applyFill="1" applyAlignment="1"/>
    <xf numFmtId="166" fontId="17" fillId="2" borderId="0" xfId="0" applyNumberFormat="1" applyFont="1" applyFill="1"/>
    <xf numFmtId="0" fontId="17" fillId="0" borderId="0" xfId="0" applyFont="1" applyFill="1" applyAlignment="1">
      <alignment horizontal="center"/>
    </xf>
    <xf numFmtId="0" fontId="17" fillId="0" borderId="0" xfId="0" applyFont="1" applyFill="1"/>
    <xf numFmtId="0" fontId="17" fillId="2" borderId="0" xfId="0" applyFont="1" applyFill="1" applyAlignment="1">
      <alignment horizontal="center"/>
    </xf>
    <xf numFmtId="166" fontId="17" fillId="2" borderId="0" xfId="2" applyNumberFormat="1" applyFont="1" applyFill="1"/>
    <xf numFmtId="0" fontId="18" fillId="2" borderId="0" xfId="0" applyFont="1" applyFill="1"/>
    <xf numFmtId="0" fontId="18" fillId="2" borderId="0" xfId="0" applyFont="1" applyFill="1" applyAlignment="1">
      <alignment horizontal="center"/>
    </xf>
    <xf numFmtId="166" fontId="18" fillId="2" borderId="0" xfId="2" applyNumberFormat="1" applyFont="1" applyFill="1" applyAlignment="1">
      <alignment horizontal="center"/>
    </xf>
    <xf numFmtId="166" fontId="18" fillId="2" borderId="0" xfId="0" applyNumberFormat="1" applyFont="1" applyFill="1"/>
    <xf numFmtId="166" fontId="18" fillId="0" borderId="0" xfId="2" applyNumberFormat="1" applyFont="1"/>
    <xf numFmtId="0" fontId="18" fillId="0" borderId="0" xfId="0" applyFont="1" applyAlignment="1">
      <alignment horizontal="right"/>
    </xf>
    <xf numFmtId="0" fontId="18" fillId="0" borderId="0" xfId="0" applyFont="1"/>
    <xf numFmtId="166" fontId="17" fillId="0" borderId="0" xfId="2" applyNumberFormat="1" applyFont="1" applyFill="1" applyAlignment="1">
      <alignment horizontal="center"/>
    </xf>
    <xf numFmtId="0" fontId="18" fillId="3" borderId="11" xfId="0" applyFont="1" applyFill="1" applyBorder="1"/>
    <xf numFmtId="0" fontId="18" fillId="3" borderId="12" xfId="0" applyFont="1" applyFill="1" applyBorder="1"/>
    <xf numFmtId="0" fontId="18" fillId="3" borderId="12" xfId="0" applyFont="1" applyFill="1" applyBorder="1" applyAlignment="1">
      <alignment horizontal="center"/>
    </xf>
    <xf numFmtId="166" fontId="18" fillId="3" borderId="12" xfId="2" applyNumberFormat="1" applyFont="1" applyFill="1" applyBorder="1" applyAlignment="1">
      <alignment horizontal="center"/>
    </xf>
    <xf numFmtId="166" fontId="18" fillId="3" borderId="13" xfId="0" applyNumberFormat="1" applyFont="1" applyFill="1" applyBorder="1"/>
    <xf numFmtId="0" fontId="12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166" fontId="15" fillId="0" borderId="0" xfId="2" applyNumberFormat="1" applyFont="1"/>
    <xf numFmtId="166" fontId="15" fillId="0" borderId="0" xfId="2" applyNumberFormat="1" applyFont="1" applyFill="1"/>
    <xf numFmtId="0" fontId="15" fillId="3" borderId="0" xfId="0" applyFont="1" applyFill="1"/>
    <xf numFmtId="166" fontId="15" fillId="3" borderId="0" xfId="2" applyNumberFormat="1" applyFont="1" applyFill="1"/>
    <xf numFmtId="0" fontId="15" fillId="0" borderId="0" xfId="0" applyFont="1" applyAlignment="1">
      <alignment horizontal="right"/>
    </xf>
    <xf numFmtId="0" fontId="15" fillId="4" borderId="0" xfId="0" applyFont="1" applyFill="1" applyAlignment="1">
      <alignment horizontal="right"/>
    </xf>
    <xf numFmtId="0" fontId="15" fillId="0" borderId="0" xfId="0" applyNumberFormat="1" applyFont="1" applyAlignment="1">
      <alignment horizontal="right"/>
    </xf>
    <xf numFmtId="0" fontId="16" fillId="2" borderId="0" xfId="0" applyFont="1" applyFill="1"/>
    <xf numFmtId="0" fontId="15" fillId="2" borderId="0" xfId="0" applyFont="1" applyFill="1"/>
    <xf numFmtId="166" fontId="16" fillId="2" borderId="0" xfId="2" applyNumberFormat="1" applyFont="1" applyFill="1"/>
    <xf numFmtId="166" fontId="16" fillId="2" borderId="0" xfId="0" applyNumberFormat="1" applyFont="1" applyFill="1"/>
    <xf numFmtId="0" fontId="15" fillId="3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/>
    </xf>
    <xf numFmtId="0" fontId="11" fillId="3" borderId="14" xfId="0" applyFont="1" applyFill="1" applyBorder="1" applyAlignment="1">
      <alignment horizontal="right"/>
    </xf>
    <xf numFmtId="0" fontId="18" fillId="3" borderId="15" xfId="0" applyFont="1" applyFill="1" applyBorder="1" applyAlignment="1">
      <alignment horizontal="right"/>
    </xf>
    <xf numFmtId="166" fontId="17" fillId="3" borderId="1" xfId="2" applyNumberFormat="1" applyFont="1" applyFill="1" applyBorder="1"/>
    <xf numFmtId="0" fontId="17" fillId="3" borderId="1" xfId="0" applyFont="1" applyFill="1" applyBorder="1"/>
    <xf numFmtId="165" fontId="18" fillId="3" borderId="1" xfId="2" applyNumberFormat="1" applyFont="1" applyFill="1" applyBorder="1"/>
    <xf numFmtId="166" fontId="17" fillId="0" borderId="16" xfId="2" applyNumberFormat="1" applyFont="1" applyBorder="1"/>
    <xf numFmtId="0" fontId="18" fillId="0" borderId="6" xfId="0" applyFont="1" applyBorder="1" applyAlignment="1">
      <alignment horizontal="center"/>
    </xf>
    <xf numFmtId="166" fontId="18" fillId="0" borderId="7" xfId="2" applyNumberFormat="1" applyFont="1" applyBorder="1" applyAlignment="1">
      <alignment horizontal="center"/>
    </xf>
    <xf numFmtId="0" fontId="18" fillId="0" borderId="7" xfId="0" applyFont="1" applyBorder="1" applyAlignment="1">
      <alignment horizontal="center" wrapText="1"/>
    </xf>
    <xf numFmtId="0" fontId="18" fillId="5" borderId="17" xfId="0" applyFont="1" applyFill="1" applyBorder="1" applyAlignment="1">
      <alignment horizontal="center" wrapText="1"/>
    </xf>
    <xf numFmtId="166" fontId="18" fillId="5" borderId="18" xfId="2" applyNumberFormat="1" applyFont="1" applyFill="1" applyBorder="1" applyAlignment="1">
      <alignment horizontal="center" wrapText="1"/>
    </xf>
    <xf numFmtId="166" fontId="18" fillId="0" borderId="19" xfId="2" applyNumberFormat="1" applyFont="1" applyBorder="1" applyAlignment="1">
      <alignment horizontal="center" wrapText="1"/>
    </xf>
    <xf numFmtId="0" fontId="17" fillId="0" borderId="15" xfId="0" applyFont="1" applyBorder="1"/>
    <xf numFmtId="166" fontId="17" fillId="0" borderId="1" xfId="2" applyNumberFormat="1" applyFont="1" applyBorder="1"/>
    <xf numFmtId="166" fontId="17" fillId="0" borderId="1" xfId="0" applyNumberFormat="1" applyFont="1" applyBorder="1"/>
    <xf numFmtId="0" fontId="17" fillId="5" borderId="20" xfId="0" applyFont="1" applyFill="1" applyBorder="1" applyAlignment="1" applyProtection="1">
      <alignment horizontal="center"/>
      <protection locked="0"/>
    </xf>
    <xf numFmtId="166" fontId="17" fillId="5" borderId="21" xfId="2" applyNumberFormat="1" applyFont="1" applyFill="1" applyBorder="1"/>
    <xf numFmtId="3" fontId="17" fillId="0" borderId="16" xfId="2" applyNumberFormat="1" applyFont="1" applyBorder="1"/>
    <xf numFmtId="0" fontId="17" fillId="0" borderId="22" xfId="0" applyFont="1" applyBorder="1"/>
    <xf numFmtId="166" fontId="17" fillId="0" borderId="23" xfId="2" applyNumberFormat="1" applyFont="1" applyBorder="1"/>
    <xf numFmtId="166" fontId="17" fillId="0" borderId="23" xfId="0" applyNumberFormat="1" applyFont="1" applyBorder="1"/>
    <xf numFmtId="0" fontId="17" fillId="5" borderId="24" xfId="0" applyFont="1" applyFill="1" applyBorder="1" applyAlignment="1" applyProtection="1">
      <alignment horizontal="center"/>
      <protection locked="0"/>
    </xf>
    <xf numFmtId="166" fontId="17" fillId="5" borderId="25" xfId="2" applyNumberFormat="1" applyFont="1" applyFill="1" applyBorder="1"/>
    <xf numFmtId="3" fontId="17" fillId="0" borderId="26" xfId="2" applyNumberFormat="1" applyFont="1" applyBorder="1"/>
    <xf numFmtId="0" fontId="17" fillId="0" borderId="0" xfId="0" applyFont="1" applyBorder="1"/>
    <xf numFmtId="166" fontId="17" fillId="0" borderId="0" xfId="2" applyNumberFormat="1" applyFont="1" applyBorder="1"/>
    <xf numFmtId="166" fontId="17" fillId="0" borderId="0" xfId="0" applyNumberFormat="1" applyFont="1" applyBorder="1"/>
    <xf numFmtId="0" fontId="17" fillId="3" borderId="5" xfId="0" applyFont="1" applyFill="1" applyBorder="1"/>
    <xf numFmtId="166" fontId="17" fillId="3" borderId="27" xfId="0" applyNumberFormat="1" applyFont="1" applyFill="1" applyBorder="1"/>
    <xf numFmtId="0" fontId="17" fillId="0" borderId="28" xfId="0" applyFont="1" applyBorder="1"/>
    <xf numFmtId="166" fontId="17" fillId="5" borderId="27" xfId="2" applyNumberFormat="1" applyFont="1" applyFill="1" applyBorder="1"/>
    <xf numFmtId="0" fontId="17" fillId="0" borderId="5" xfId="0" applyFont="1" applyBorder="1"/>
    <xf numFmtId="0" fontId="18" fillId="0" borderId="11" xfId="0" applyFont="1" applyFill="1" applyBorder="1"/>
    <xf numFmtId="166" fontId="18" fillId="0" borderId="12" xfId="2" applyNumberFormat="1" applyFont="1" applyFill="1" applyBorder="1"/>
    <xf numFmtId="0" fontId="18" fillId="0" borderId="12" xfId="0" applyFont="1" applyFill="1" applyBorder="1"/>
    <xf numFmtId="166" fontId="18" fillId="3" borderId="29" xfId="2" applyNumberFormat="1" applyFont="1" applyFill="1" applyBorder="1"/>
    <xf numFmtId="0" fontId="17" fillId="0" borderId="30" xfId="0" applyFont="1" applyBorder="1"/>
    <xf numFmtId="166" fontId="17" fillId="0" borderId="31" xfId="2" applyNumberFormat="1" applyFont="1" applyBorder="1"/>
    <xf numFmtId="166" fontId="17" fillId="0" borderId="31" xfId="0" applyNumberFormat="1" applyFont="1" applyBorder="1"/>
    <xf numFmtId="0" fontId="17" fillId="5" borderId="32" xfId="0" applyFont="1" applyFill="1" applyBorder="1" applyAlignment="1" applyProtection="1">
      <alignment horizontal="center"/>
      <protection locked="0"/>
    </xf>
    <xf numFmtId="166" fontId="17" fillId="5" borderId="33" xfId="2" applyNumberFormat="1" applyFont="1" applyFill="1" applyBorder="1"/>
    <xf numFmtId="3" fontId="17" fillId="0" borderId="34" xfId="2" applyNumberFormat="1" applyFont="1" applyBorder="1"/>
    <xf numFmtId="166" fontId="17" fillId="0" borderId="8" xfId="0" applyNumberFormat="1" applyFont="1" applyBorder="1"/>
    <xf numFmtId="166" fontId="17" fillId="0" borderId="8" xfId="2" applyNumberFormat="1" applyFont="1" applyBorder="1"/>
    <xf numFmtId="0" fontId="17" fillId="5" borderId="5" xfId="0" applyFont="1" applyFill="1" applyBorder="1"/>
    <xf numFmtId="0" fontId="17" fillId="2" borderId="5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7" fillId="2" borderId="8" xfId="0" applyFont="1" applyFill="1" applyBorder="1"/>
    <xf numFmtId="166" fontId="18" fillId="2" borderId="0" xfId="2" applyNumberFormat="1" applyFont="1" applyFill="1" applyBorder="1"/>
    <xf numFmtId="166" fontId="17" fillId="2" borderId="8" xfId="0" applyNumberFormat="1" applyFont="1" applyFill="1" applyBorder="1"/>
    <xf numFmtId="0" fontId="17" fillId="2" borderId="6" xfId="0" applyFont="1" applyFill="1" applyBorder="1" applyAlignment="1">
      <alignment horizontal="center"/>
    </xf>
    <xf numFmtId="166" fontId="18" fillId="2" borderId="7" xfId="2" applyNumberFormat="1" applyFont="1" applyFill="1" applyBorder="1"/>
    <xf numFmtId="166" fontId="17" fillId="2" borderId="35" xfId="0" applyNumberFormat="1" applyFont="1" applyFill="1" applyBorder="1"/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166" fontId="18" fillId="0" borderId="38" xfId="2" applyNumberFormat="1" applyFont="1" applyBorder="1"/>
    <xf numFmtId="0" fontId="17" fillId="0" borderId="0" xfId="0" applyFont="1" applyBorder="1" applyAlignment="1">
      <alignment horizontal="center"/>
    </xf>
    <xf numFmtId="166" fontId="17" fillId="0" borderId="38" xfId="2" applyNumberFormat="1" applyFont="1" applyBorder="1"/>
    <xf numFmtId="0" fontId="17" fillId="0" borderId="39" xfId="0" applyFont="1" applyBorder="1" applyAlignment="1">
      <alignment horizontal="center"/>
    </xf>
    <xf numFmtId="166" fontId="17" fillId="0" borderId="40" xfId="2" applyNumberFormat="1" applyFont="1" applyBorder="1"/>
    <xf numFmtId="0" fontId="17" fillId="3" borderId="5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17" fillId="3" borderId="8" xfId="0" applyFont="1" applyFill="1" applyBorder="1"/>
    <xf numFmtId="166" fontId="18" fillId="3" borderId="0" xfId="2" applyNumberFormat="1" applyFont="1" applyFill="1" applyBorder="1"/>
    <xf numFmtId="166" fontId="17" fillId="3" borderId="8" xfId="0" applyNumberFormat="1" applyFont="1" applyFill="1" applyBorder="1"/>
    <xf numFmtId="0" fontId="17" fillId="3" borderId="6" xfId="0" applyFont="1" applyFill="1" applyBorder="1" applyAlignment="1">
      <alignment horizontal="center"/>
    </xf>
    <xf numFmtId="166" fontId="18" fillId="3" borderId="7" xfId="2" applyNumberFormat="1" applyFont="1" applyFill="1" applyBorder="1"/>
    <xf numFmtId="166" fontId="17" fillId="3" borderId="35" xfId="0" applyNumberFormat="1" applyFont="1" applyFill="1" applyBorder="1"/>
    <xf numFmtId="0" fontId="18" fillId="6" borderId="0" xfId="0" applyFont="1" applyFill="1"/>
    <xf numFmtId="0" fontId="18" fillId="6" borderId="0" xfId="0" applyFont="1" applyFill="1" applyAlignment="1">
      <alignment horizontal="center"/>
    </xf>
    <xf numFmtId="166" fontId="18" fillId="6" borderId="0" xfId="0" applyNumberFormat="1" applyFont="1" applyFill="1"/>
    <xf numFmtId="0" fontId="17" fillId="0" borderId="12" xfId="0" applyFont="1" applyBorder="1"/>
    <xf numFmtId="0" fontId="17" fillId="0" borderId="0" xfId="0" applyFont="1" applyFill="1" applyAlignment="1">
      <alignment horizontal="right"/>
    </xf>
    <xf numFmtId="166" fontId="17" fillId="0" borderId="0" xfId="2" applyNumberFormat="1" applyFont="1" applyFill="1"/>
    <xf numFmtId="0" fontId="18" fillId="0" borderId="0" xfId="0" applyFont="1" applyFill="1" applyAlignment="1">
      <alignment horizontal="right"/>
    </xf>
    <xf numFmtId="0" fontId="21" fillId="0" borderId="0" xfId="0" applyFont="1"/>
    <xf numFmtId="0" fontId="17" fillId="7" borderId="5" xfId="0" applyFont="1" applyFill="1" applyBorder="1" applyAlignment="1">
      <alignment horizontal="center"/>
    </xf>
    <xf numFmtId="0" fontId="17" fillId="7" borderId="0" xfId="0" applyFont="1" applyFill="1" applyBorder="1" applyAlignment="1">
      <alignment horizontal="center"/>
    </xf>
    <xf numFmtId="0" fontId="17" fillId="7" borderId="8" xfId="0" applyFont="1" applyFill="1" applyBorder="1"/>
    <xf numFmtId="0" fontId="17" fillId="7" borderId="6" xfId="0" applyFont="1" applyFill="1" applyBorder="1" applyAlignment="1">
      <alignment horizontal="center"/>
    </xf>
    <xf numFmtId="166" fontId="18" fillId="7" borderId="7" xfId="2" applyNumberFormat="1" applyFont="1" applyFill="1" applyBorder="1"/>
    <xf numFmtId="166" fontId="17" fillId="7" borderId="35" xfId="0" applyNumberFormat="1" applyFont="1" applyFill="1" applyBorder="1"/>
    <xf numFmtId="0" fontId="17" fillId="0" borderId="37" xfId="0" applyFont="1" applyBorder="1" applyAlignment="1" applyProtection="1">
      <alignment horizontal="center"/>
      <protection locked="0"/>
    </xf>
    <xf numFmtId="0" fontId="18" fillId="3" borderId="13" xfId="0" applyFont="1" applyFill="1" applyBorder="1" applyAlignment="1" applyProtection="1">
      <alignment horizontal="center"/>
      <protection locked="0"/>
    </xf>
    <xf numFmtId="0" fontId="18" fillId="7" borderId="13" xfId="0" applyFont="1" applyFill="1" applyBorder="1" applyAlignment="1" applyProtection="1">
      <alignment horizontal="center"/>
      <protection locked="0"/>
    </xf>
    <xf numFmtId="0" fontId="18" fillId="2" borderId="13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textRotation="180"/>
    </xf>
    <xf numFmtId="3" fontId="11" fillId="0" borderId="0" xfId="0" applyNumberFormat="1" applyFont="1"/>
    <xf numFmtId="3" fontId="14" fillId="0" borderId="0" xfId="0" applyNumberFormat="1" applyFont="1"/>
    <xf numFmtId="0" fontId="13" fillId="0" borderId="0" xfId="0" applyFont="1"/>
    <xf numFmtId="3" fontId="13" fillId="0" borderId="0" xfId="0" applyNumberFormat="1" applyFont="1"/>
    <xf numFmtId="0" fontId="24" fillId="0" borderId="0" xfId="0" applyFont="1" applyAlignment="1">
      <alignment horizontal="center"/>
    </xf>
    <xf numFmtId="3" fontId="18" fillId="0" borderId="0" xfId="0" applyNumberFormat="1" applyFont="1"/>
    <xf numFmtId="0" fontId="13" fillId="8" borderId="5" xfId="0" applyFont="1" applyFill="1" applyBorder="1"/>
    <xf numFmtId="3" fontId="18" fillId="0" borderId="46" xfId="0" applyNumberFormat="1" applyFont="1" applyBorder="1"/>
    <xf numFmtId="0" fontId="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1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3" borderId="0" xfId="0" applyFont="1" applyFill="1" applyAlignment="1">
      <alignment horizontal="center" wrapText="1"/>
    </xf>
    <xf numFmtId="0" fontId="17" fillId="0" borderId="0" xfId="0" applyFont="1" applyFill="1" applyAlignment="1">
      <alignment horizontal="center"/>
    </xf>
    <xf numFmtId="166" fontId="18" fillId="0" borderId="0" xfId="2" applyNumberFormat="1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8" fillId="5" borderId="42" xfId="0" applyFont="1" applyFill="1" applyBorder="1" applyAlignment="1">
      <alignment horizontal="center"/>
    </xf>
    <xf numFmtId="0" fontId="18" fillId="5" borderId="43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8" fillId="7" borderId="2" xfId="0" applyFont="1" applyFill="1" applyBorder="1" applyAlignment="1">
      <alignment horizontal="center"/>
    </xf>
    <xf numFmtId="0" fontId="18" fillId="7" borderId="3" xfId="0" applyFont="1" applyFill="1" applyBorder="1" applyAlignment="1">
      <alignment horizontal="center"/>
    </xf>
    <xf numFmtId="0" fontId="18" fillId="7" borderId="41" xfId="0" applyFont="1" applyFill="1" applyBorder="1" applyAlignment="1">
      <alignment horizontal="center"/>
    </xf>
    <xf numFmtId="0" fontId="17" fillId="0" borderId="44" xfId="0" applyFont="1" applyBorder="1" applyAlignment="1">
      <alignment horizontal="left"/>
    </xf>
    <xf numFmtId="0" fontId="17" fillId="0" borderId="37" xfId="0" applyFont="1" applyBorder="1" applyAlignment="1">
      <alignment horizontal="left"/>
    </xf>
    <xf numFmtId="0" fontId="17" fillId="0" borderId="45" xfId="0" applyFont="1" applyBorder="1" applyAlignment="1">
      <alignment horizontal="left"/>
    </xf>
    <xf numFmtId="0" fontId="17" fillId="0" borderId="39" xfId="0" applyFont="1" applyBorder="1" applyAlignment="1">
      <alignment horizontal="left"/>
    </xf>
    <xf numFmtId="0" fontId="18" fillId="2" borderId="2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18" fillId="2" borderId="41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/>
    </xf>
    <xf numFmtId="0" fontId="18" fillId="3" borderId="3" xfId="0" applyFont="1" applyFill="1" applyBorder="1" applyAlignment="1">
      <alignment horizontal="center"/>
    </xf>
    <xf numFmtId="0" fontId="18" fillId="3" borderId="41" xfId="0" applyFont="1" applyFill="1" applyBorder="1" applyAlignment="1">
      <alignment horizontal="center"/>
    </xf>
  </cellXfs>
  <cellStyles count="3">
    <cellStyle name="Normal" xfId="0" builtinId="0"/>
    <cellStyle name="Prosent" xfId="1" builtinId="5"/>
    <cellStyle name="Tusenskille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8" Type="http://schemas.openxmlformats.org/officeDocument/2006/relationships/externalLink" Target="externalLinks/externalLink2.xml"/><Relationship Id="rId51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733425</xdr:colOff>
      <xdr:row>27</xdr:row>
      <xdr:rowOff>152400</xdr:rowOff>
    </xdr:from>
    <xdr:to>
      <xdr:col>5</xdr:col>
      <xdr:colOff>28575</xdr:colOff>
      <xdr:row>37</xdr:row>
      <xdr:rowOff>95250</xdr:rowOff>
    </xdr:to>
    <xdr:pic>
      <xdr:nvPicPr>
        <xdr:cNvPr id="205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28825" y="7296150"/>
          <a:ext cx="1581150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48</xdr:row>
      <xdr:rowOff>159327</xdr:rowOff>
    </xdr:from>
    <xdr:to>
      <xdr:col>2</xdr:col>
      <xdr:colOff>119495</xdr:colOff>
      <xdr:row>52</xdr:row>
      <xdr:rowOff>37234</xdr:rowOff>
    </xdr:to>
    <xdr:pic>
      <xdr:nvPicPr>
        <xdr:cNvPr id="1045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0" y="7415645"/>
          <a:ext cx="647700" cy="6485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felles/norgedigitalt/Partsdokumentasjon_2010/Endelige_bilag_2010/Artsdatabanken/Bilag_1_2010_Artsdatabanken_2010-11-0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Skfelles/norgedigitalt/Partsdokumentasjon_2010/Endelige_bilag_2010/FeFo/Bilag_1_2010_FeFo_2010-11-2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Skfelles/norgedigitalt/Partsdokumentasjon_2010/Endelige_bilag_2010/Fiskeridirektoratet/Bilag_1_2010_Fiskeridirektoratet_2010-09-15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Skfelles/norgedigitalt/Partsdokumentasjon_2010/Endelige_bilag_2010/Forsvaret/Bilag_1_2010_Forsvaret_2010-07-0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Skfelles/norgedigitalt/Partsdokumentasjon_2010/Endelige_bilag_2010/FM/Bilag_1_2010_FM_2010-11-18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Skfelles/norgedigitalt/Partsdokumentasjon_2010/Endelige_bilag_2010/Havforskningsinstituttet/Bilag_1_2010_Havforskningsinstituttet_2010-09-10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Skfelles/norgedigitalt/Partsdokumentasjon_2010/Endelige_bilag_2010/Jernbaneverket/Bilag_1_2010_JBV_2010-09-1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Skfelles/norgedigitalt/Partsdokumentasjon_2010/Endelige_bilag_2010/Klif/Bilag_1_2010_Klif_2010-06-10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Skfelles/norgedigitalt/Partsdokumentasjon_2010/Endelige_bilag_2010/Kystverket/Bilag%20_1_2010_Kystverket_2010-09-2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Skfelles/norgedigitalt/Partsdokumentasjon_2010/Endelige_bilag_2010/Mattilsynet/Bilag_1_2010_Mattilsynet_2010-06-2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Skfelles/norgedigitalt/Partsdokumentasjon_2010/Endelige_bilag_2010/Meteorologisk_inst/Bilag_1_2010_Met_inst_2010-10-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kfelles/norgedigitalt/Partsdokumentasjon_2010/Endelige_bilag_2010/Avinor/Bilag_1_2010_Avinor_2010-11-02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Skfelles/norgedigitalt/Partsdokumentasjon_2010/Endelige_bilag_2010/NGU/Bilag_1_2010_NGU_2010-06-07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Skfelles/norgedigitalt/Partsdokumentasjon_2010/Endelige_bilag_2010/NVE/Bilag_1_2010_NVE_2010-08-17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Skfelles/norgedigitalt/Partsdokumentasjon_2010/Endelige_bilag_2010/NIKU/Bilag_1_2010_NIKU_2010-09-17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Skfelles/norgedigitalt/Partsdokumentasjon_2010/Endelige_bilag_2010/NINA/Bilag_1_2010_NINA_2010-09-10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Skfelles/norgedigitalt/Partsdokumentasjon_2010/Endelige_bilag_2010/Skog%20og%20landskap/Bilag_1_2010_Skog_og_landskap_2010-11-29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Skfelles/norgedigitalt/Partsdokumentasjon_2010/Endelige_bilag_2010/NIVA/Bilag_1_2010_NIVA_2010-09-17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Skfelles/norgedigitalt/Partsdokumentasjon_2010/Endelige_bilag_2010/Politiet/Bilag_1_2010_Politiet_2010-10-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Skfelles/norgedigitalt/Partsdokumentasjon_2010/Endelige_bilag_2010/RHF_HINAS/Bilag_1_2010_RHF_HINAS_2010-07-29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Skfelles/norgedigitalt/Partsdokumentasjon_2010/Endelige_bilag_2010/Reindrift/Bilag_1_2010_Reindrift_2010-08-23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Skfelles/norgedigitalt/Partsdokumentasjon_2010/Endelige_bilag_2010/Riksantikvaren/Bilag_1_2010_Riksantikvaren_2010-08-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felles/norgedigitalt/Partsdokumentasjon_2010/Endelige_bilag_2010/Bioforsk/Bilag_1_2010_Bioforsk_2010-08-27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Skfelles/norgedigitalt/Partsdokumentasjon_2010/Endelige_bilag_2010/Sametinget/Bilag_1_2010_Sametinget_2010-10-22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Skfelles/norgedigitalt/Partsdokumentasjon_2010/Endelige_bilag_2010/SK/Bilag_1_2010_SK_2010-11-02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Skfelles/norgedigitalt/Partsdokumentasjon_2010/Endelige_bilag_2010/SLF/Bilag_1_2010_SLF_2010-09-07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Skfelles/norgedigitalt/Partsdokumentasjon_2010/Endelige_bilag_2010/Statens_str&#229;levern/Bilag_1_2010_Statens_str&#229;levern_2009-11-26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Skfelles/norgedigitalt/Partsdokumentasjon_2010/Endelige_bilag_2010/Statens%20vegvesen/Bilag_1_2010_SVV_2010-11-04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Skfelles/norgedigitalt/Partsdokumentasjon_2010/Endelige_bilag_2010/SSB/Bilag_1_2010_SSB_2010-09-14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Skfelles/norgedigitalt/Partsdokumentasjon_2010/Endelige_bilag_2010/Statkraft/Bilag_1_2010_Statkraft_2010-07-08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Skfelles/norgedigitalt/Partsdokumentasjon_2010/Endelige_bilag_2010/Statnett/Bilag_1_2010_Statnett_2010-11-26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Skfelles/norgedigitalt/Partsdokumentasjon_2010/Endelige_bilag_2010/Statsbygg/Bilag_1_2010_Statsbygg_2010-10-26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Skfelles/norgedigitalt/Partsdokumentasjon_2010/Endelige_bilag_2010/Statskog/Bilag_1_2010_Statskog_2010-09-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kfelles/norgedigitalt/Partsdokumentasjon_2010/Endelige_bilag_2010/DNT/Bilag_1_2010_DNT_2010-06-08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Skfelles/norgedigitalt/Partsdokumentasjon_2010/Endelige_bilag_2010/Telenor/Bilag_1_2010_Telenor_2010-11-05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Skfelles/norgedigitalt/Partsdokumentasjon_2010/Endelige_bilag_2010/Utdanndir/Bilag_1_2010_Utdanndir_2009-11-26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Skfelles/norgedigitalt/Partsdokumentasjon_2010/Endelige_bilag_2010/Vet_inst/Bilag_1_2010_Vet_inst_2010-09-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kfelles/norgedigitalt/Partsdokumentasjon_2010/Endelige_bilag_2010/Departementene/Bilag_1_2010_Dep_2010-07-2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kfelles/norgedigitalt/Partsdokumentasjon_2010/Endelige_bilag_2010/Difi/Bilag_1_2010_Difi_2010-08-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Skfelles/norgedigitalt/Partsdokumentasjon_2010/Endelige_bilag_2010/DN/Bilag_1_2010_DN_2010-07-2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Skfelles/norgedigitalt/Partsdokumentasjon_2010/Endelige_bilag_2010/DSB/Bilag_1_2010_DSB_2010-10-0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Skfelles/norgedigitalt/Partsdokumentasjon_2010/Endelige_bilag_2010/DA_Jordskifte/Bilag_1_2010_DA_Jordskifte_2010-09-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side"/>
      <sheetName val="Kalkulator"/>
      <sheetName val="SK"/>
      <sheetName val="Andre kommuner"/>
      <sheetName val="Norges eiendommer"/>
      <sheetName val="Pos_tjen"/>
    </sheetNames>
    <sheetDataSet>
      <sheetData sheetId="0"/>
      <sheetData sheetId="1">
        <row r="8">
          <cell r="I8">
            <v>6000</v>
          </cell>
        </row>
        <row r="9">
          <cell r="I9">
            <v>0</v>
          </cell>
        </row>
        <row r="10">
          <cell r="I10">
            <v>138000</v>
          </cell>
        </row>
        <row r="11">
          <cell r="I11">
            <v>36000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29650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I20">
            <v>48000</v>
          </cell>
        </row>
        <row r="21">
          <cell r="I21">
            <v>6000</v>
          </cell>
        </row>
        <row r="22">
          <cell r="I22">
            <v>0</v>
          </cell>
        </row>
        <row r="23">
          <cell r="I23">
            <v>9000</v>
          </cell>
        </row>
        <row r="24">
          <cell r="I24">
            <v>0</v>
          </cell>
        </row>
        <row r="25">
          <cell r="I25">
            <v>30000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10000</v>
          </cell>
        </row>
        <row r="42">
          <cell r="I42">
            <v>0</v>
          </cell>
        </row>
        <row r="43">
          <cell r="I43">
            <v>5000</v>
          </cell>
        </row>
        <row r="44">
          <cell r="I44">
            <v>0</v>
          </cell>
        </row>
        <row r="45">
          <cell r="I45">
            <v>0</v>
          </cell>
        </row>
        <row r="46">
          <cell r="I46">
            <v>30000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Forside"/>
      <sheetName val="Kalkulator"/>
      <sheetName val="SK"/>
      <sheetName val="Andre kommuner"/>
      <sheetName val="Norges eiendommer"/>
      <sheetName val="Pos_tjen"/>
      <sheetName val="Spesial"/>
    </sheetNames>
    <sheetDataSet>
      <sheetData sheetId="0"/>
      <sheetData sheetId="1">
        <row r="7">
          <cell r="L7">
            <v>3424.4035998853219</v>
          </cell>
        </row>
        <row r="8">
          <cell r="L8">
            <v>0</v>
          </cell>
        </row>
        <row r="9">
          <cell r="L9">
            <v>0</v>
          </cell>
        </row>
        <row r="10">
          <cell r="L10">
            <v>0</v>
          </cell>
        </row>
        <row r="11">
          <cell r="L11">
            <v>0</v>
          </cell>
        </row>
        <row r="12">
          <cell r="L12">
            <v>0</v>
          </cell>
        </row>
        <row r="13">
          <cell r="L13">
            <v>4230.5652806916578</v>
          </cell>
        </row>
        <row r="14">
          <cell r="L14">
            <v>0</v>
          </cell>
        </row>
        <row r="15">
          <cell r="L15">
            <v>0</v>
          </cell>
        </row>
        <row r="16">
          <cell r="L16">
            <v>0</v>
          </cell>
        </row>
        <row r="18">
          <cell r="L18">
            <v>0</v>
          </cell>
        </row>
        <row r="20">
          <cell r="M20">
            <v>13697.614399541288</v>
          </cell>
        </row>
        <row r="21">
          <cell r="M21">
            <v>3424.4035998853219</v>
          </cell>
        </row>
        <row r="22">
          <cell r="M22">
            <v>0</v>
          </cell>
        </row>
        <row r="23">
          <cell r="M23">
            <v>2568.3026999139911</v>
          </cell>
        </row>
        <row r="24">
          <cell r="M24">
            <v>0</v>
          </cell>
        </row>
        <row r="25">
          <cell r="L25">
            <v>0</v>
          </cell>
          <cell r="M25">
            <v>1783.5435416069383</v>
          </cell>
        </row>
        <row r="26">
          <cell r="L26">
            <v>0</v>
          </cell>
        </row>
        <row r="27">
          <cell r="L27">
            <v>0</v>
          </cell>
        </row>
        <row r="28">
          <cell r="L28">
            <v>0</v>
          </cell>
        </row>
        <row r="29">
          <cell r="L29">
            <v>0</v>
          </cell>
        </row>
        <row r="30">
          <cell r="L30">
            <v>0</v>
          </cell>
        </row>
        <row r="31">
          <cell r="L31">
            <v>0</v>
          </cell>
        </row>
        <row r="32">
          <cell r="L32">
            <v>0</v>
          </cell>
        </row>
        <row r="33">
          <cell r="L33">
            <v>0</v>
          </cell>
        </row>
        <row r="34">
          <cell r="L34">
            <v>0</v>
          </cell>
        </row>
        <row r="35">
          <cell r="L35">
            <v>0</v>
          </cell>
        </row>
        <row r="36">
          <cell r="L36">
            <v>0</v>
          </cell>
        </row>
        <row r="37">
          <cell r="L37">
            <v>0</v>
          </cell>
        </row>
        <row r="38">
          <cell r="L38">
            <v>0</v>
          </cell>
        </row>
        <row r="39">
          <cell r="L39">
            <v>0</v>
          </cell>
        </row>
        <row r="40">
          <cell r="L40">
            <v>24000</v>
          </cell>
        </row>
        <row r="41">
          <cell r="L41">
            <v>0</v>
          </cell>
        </row>
        <row r="43">
          <cell r="L43">
            <v>12000</v>
          </cell>
        </row>
        <row r="44">
          <cell r="L44">
            <v>0</v>
          </cell>
        </row>
        <row r="45">
          <cell r="L45">
            <v>17122.017999426607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Forside"/>
      <sheetName val="Kalkulator"/>
      <sheetName val="SK"/>
      <sheetName val="Andre kommuner"/>
      <sheetName val="Norges eiendommer"/>
      <sheetName val="Pos_tjen"/>
    </sheetNames>
    <sheetDataSet>
      <sheetData sheetId="0"/>
      <sheetData sheetId="1">
        <row r="8">
          <cell r="I8">
            <v>13200.000000000002</v>
          </cell>
        </row>
        <row r="9">
          <cell r="I9">
            <v>0</v>
          </cell>
        </row>
        <row r="10">
          <cell r="I10">
            <v>138000</v>
          </cell>
        </row>
        <row r="11">
          <cell r="I11">
            <v>79200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29650</v>
          </cell>
        </row>
        <row r="15">
          <cell r="I15">
            <v>-7927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I20">
            <v>52800</v>
          </cell>
        </row>
        <row r="21">
          <cell r="I21">
            <v>13200</v>
          </cell>
        </row>
        <row r="22">
          <cell r="I22">
            <v>0</v>
          </cell>
        </row>
        <row r="23">
          <cell r="I23">
            <v>19800.000000000004</v>
          </cell>
        </row>
        <row r="24">
          <cell r="I24">
            <v>0</v>
          </cell>
        </row>
        <row r="25">
          <cell r="I25">
            <v>66000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22000</v>
          </cell>
        </row>
        <row r="42">
          <cell r="I42">
            <v>0</v>
          </cell>
        </row>
        <row r="43">
          <cell r="I43">
            <v>11000</v>
          </cell>
        </row>
        <row r="44">
          <cell r="I44">
            <v>0</v>
          </cell>
        </row>
        <row r="45">
          <cell r="I45">
            <v>0</v>
          </cell>
        </row>
        <row r="46">
          <cell r="I46">
            <v>66000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Forside"/>
      <sheetName val="Kalkulator"/>
      <sheetName val="SK"/>
      <sheetName val="Andre kommuner"/>
      <sheetName val="Norges eiendommer"/>
      <sheetName val="Pos_tjen"/>
    </sheetNames>
    <sheetDataSet>
      <sheetData sheetId="0"/>
      <sheetData sheetId="1">
        <row r="8">
          <cell r="I8">
            <v>72000</v>
          </cell>
        </row>
        <row r="9">
          <cell r="I9">
            <v>0</v>
          </cell>
        </row>
        <row r="10">
          <cell r="I10">
            <v>1104000</v>
          </cell>
        </row>
        <row r="11">
          <cell r="I11">
            <v>288000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237200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>
            <v>96000</v>
          </cell>
        </row>
        <row r="22">
          <cell r="I22">
            <v>0</v>
          </cell>
        </row>
        <row r="23">
          <cell r="I23">
            <v>108000</v>
          </cell>
        </row>
        <row r="24">
          <cell r="I24">
            <v>0</v>
          </cell>
        </row>
        <row r="25">
          <cell r="I25">
            <v>360000</v>
          </cell>
        </row>
        <row r="26">
          <cell r="I26">
            <v>0</v>
          </cell>
        </row>
        <row r="27">
          <cell r="I27">
            <v>80000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29000</v>
          </cell>
        </row>
        <row r="31">
          <cell r="I31">
            <v>0</v>
          </cell>
        </row>
        <row r="32">
          <cell r="I32">
            <v>312000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15333.333333333334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40000</v>
          </cell>
        </row>
        <row r="42">
          <cell r="I42">
            <v>0</v>
          </cell>
        </row>
        <row r="43">
          <cell r="I43">
            <v>20000</v>
          </cell>
        </row>
        <row r="44">
          <cell r="I44">
            <v>0</v>
          </cell>
        </row>
        <row r="45">
          <cell r="I45">
            <v>0</v>
          </cell>
        </row>
        <row r="46">
          <cell r="I46">
            <v>480000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Forside"/>
      <sheetName val="Kalkulator"/>
      <sheetName val="SK"/>
      <sheetName val="Andre kommuner"/>
      <sheetName val="Norges eiendommer"/>
      <sheetName val="Pos_tjen"/>
    </sheetNames>
    <sheetDataSet>
      <sheetData sheetId="0"/>
      <sheetData sheetId="1">
        <row r="8">
          <cell r="I8">
            <v>72000</v>
          </cell>
        </row>
        <row r="9">
          <cell r="I9">
            <v>0</v>
          </cell>
        </row>
        <row r="10">
          <cell r="I10">
            <v>1573199.9999999998</v>
          </cell>
        </row>
        <row r="11">
          <cell r="I11">
            <v>410399.99999999994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355800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I20">
            <v>288000</v>
          </cell>
        </row>
        <row r="21">
          <cell r="I21">
            <v>72000</v>
          </cell>
        </row>
        <row r="22">
          <cell r="I22">
            <v>0</v>
          </cell>
        </row>
        <row r="23">
          <cell r="I23">
            <v>68400</v>
          </cell>
        </row>
        <row r="24">
          <cell r="I24">
            <v>0</v>
          </cell>
        </row>
        <row r="25">
          <cell r="I25">
            <v>360000</v>
          </cell>
        </row>
        <row r="26">
          <cell r="I26">
            <v>0</v>
          </cell>
        </row>
        <row r="27">
          <cell r="I27">
            <v>90000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29000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40000</v>
          </cell>
        </row>
        <row r="42">
          <cell r="I42">
            <v>0</v>
          </cell>
        </row>
        <row r="43">
          <cell r="I43">
            <v>20000</v>
          </cell>
        </row>
        <row r="44">
          <cell r="I44">
            <v>0</v>
          </cell>
        </row>
        <row r="45">
          <cell r="I45">
            <v>0</v>
          </cell>
        </row>
        <row r="46">
          <cell r="I46">
            <v>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Forside"/>
      <sheetName val="Kalkulator"/>
      <sheetName val="SK"/>
      <sheetName val="Andre kommuner"/>
      <sheetName val="Norges eiendommer"/>
      <sheetName val="Pos_tjen"/>
    </sheetNames>
    <sheetDataSet>
      <sheetData sheetId="0"/>
      <sheetData sheetId="1">
        <row r="8">
          <cell r="I8">
            <v>11400</v>
          </cell>
        </row>
        <row r="9">
          <cell r="I9">
            <v>0</v>
          </cell>
        </row>
        <row r="10">
          <cell r="I10">
            <v>138000</v>
          </cell>
        </row>
        <row r="11">
          <cell r="I11">
            <v>36000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29650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I20">
            <v>24000</v>
          </cell>
        </row>
        <row r="21">
          <cell r="I21">
            <v>6000</v>
          </cell>
        </row>
        <row r="22">
          <cell r="I22">
            <v>0</v>
          </cell>
        </row>
        <row r="23">
          <cell r="I23">
            <v>9000</v>
          </cell>
        </row>
        <row r="24">
          <cell r="I24">
            <v>0</v>
          </cell>
        </row>
        <row r="25">
          <cell r="I25">
            <v>228000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10000</v>
          </cell>
        </row>
        <row r="42">
          <cell r="I42">
            <v>0</v>
          </cell>
        </row>
        <row r="43">
          <cell r="I43">
            <v>5000</v>
          </cell>
        </row>
        <row r="44">
          <cell r="I44">
            <v>0</v>
          </cell>
        </row>
        <row r="45">
          <cell r="I45">
            <v>0</v>
          </cell>
        </row>
        <row r="46">
          <cell r="I46">
            <v>30000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Forside"/>
      <sheetName val="Kalkulator"/>
      <sheetName val="SK"/>
      <sheetName val="Andre kommuner"/>
      <sheetName val="Norges eiendommer"/>
      <sheetName val="Pos_tjen"/>
    </sheetNames>
    <sheetDataSet>
      <sheetData sheetId="0"/>
      <sheetData sheetId="1">
        <row r="8">
          <cell r="I8">
            <v>48000</v>
          </cell>
        </row>
        <row r="9">
          <cell r="I9">
            <v>0</v>
          </cell>
        </row>
        <row r="10">
          <cell r="I10">
            <v>552000</v>
          </cell>
        </row>
        <row r="11">
          <cell r="I11">
            <v>144000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237200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I20">
            <v>192000</v>
          </cell>
        </row>
        <row r="21">
          <cell r="I21">
            <v>24000</v>
          </cell>
        </row>
        <row r="22">
          <cell r="I22">
            <v>0</v>
          </cell>
        </row>
        <row r="23">
          <cell r="I23">
            <v>36000</v>
          </cell>
        </row>
        <row r="24">
          <cell r="I24">
            <v>0</v>
          </cell>
        </row>
        <row r="25">
          <cell r="I25">
            <v>30000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29000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19000</v>
          </cell>
        </row>
        <row r="38">
          <cell r="I38">
            <v>16000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4">
          <cell r="I44">
            <v>0</v>
          </cell>
        </row>
        <row r="45">
          <cell r="I45">
            <v>0</v>
          </cell>
        </row>
        <row r="46">
          <cell r="I46">
            <v>120000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Forside"/>
      <sheetName val="Kalkulator"/>
      <sheetName val="SK"/>
      <sheetName val="Andre kommuner"/>
      <sheetName val="Norges eiendommer"/>
      <sheetName val="Pos_tjen"/>
    </sheetNames>
    <sheetDataSet>
      <sheetData sheetId="0"/>
      <sheetData sheetId="1">
        <row r="8">
          <cell r="I8">
            <v>10200</v>
          </cell>
        </row>
        <row r="9">
          <cell r="I9">
            <v>0</v>
          </cell>
        </row>
        <row r="10">
          <cell r="I10">
            <v>469200</v>
          </cell>
        </row>
        <row r="11">
          <cell r="I11">
            <v>61200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50405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I20">
            <v>122400</v>
          </cell>
        </row>
        <row r="21">
          <cell r="I21">
            <v>10200</v>
          </cell>
        </row>
        <row r="22">
          <cell r="I22">
            <v>0</v>
          </cell>
        </row>
        <row r="23">
          <cell r="I23">
            <v>15300</v>
          </cell>
        </row>
        <row r="24">
          <cell r="I24">
            <v>0</v>
          </cell>
        </row>
        <row r="25">
          <cell r="I25">
            <v>51000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17000</v>
          </cell>
        </row>
        <row r="42">
          <cell r="I42">
            <v>0</v>
          </cell>
        </row>
        <row r="43">
          <cell r="I43">
            <v>8500</v>
          </cell>
        </row>
        <row r="44">
          <cell r="I44">
            <v>0</v>
          </cell>
        </row>
        <row r="45">
          <cell r="I45">
            <v>0</v>
          </cell>
        </row>
        <row r="46">
          <cell r="I46">
            <v>51000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Forside"/>
      <sheetName val="Kalkulator"/>
      <sheetName val="SK"/>
      <sheetName val="Andre kommuner"/>
      <sheetName val="Norges eiendommer"/>
      <sheetName val="Pos_tjen"/>
    </sheetNames>
    <sheetDataSet>
      <sheetData sheetId="0"/>
      <sheetData sheetId="1">
        <row r="8">
          <cell r="I8">
            <v>19200</v>
          </cell>
        </row>
        <row r="10">
          <cell r="I10">
            <v>138000</v>
          </cell>
        </row>
        <row r="11">
          <cell r="I11">
            <v>115200</v>
          </cell>
        </row>
        <row r="14">
          <cell r="I14">
            <v>94880</v>
          </cell>
        </row>
        <row r="15">
          <cell r="I15">
            <v>0</v>
          </cell>
        </row>
        <row r="20">
          <cell r="I20">
            <v>153600</v>
          </cell>
        </row>
        <row r="21">
          <cell r="I21">
            <v>19200</v>
          </cell>
        </row>
        <row r="23">
          <cell r="I23">
            <v>28800</v>
          </cell>
        </row>
        <row r="25">
          <cell r="I25">
            <v>384000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2">
          <cell r="I32">
            <v>322400</v>
          </cell>
        </row>
        <row r="37">
          <cell r="I37">
            <v>0</v>
          </cell>
        </row>
        <row r="38">
          <cell r="I38">
            <v>63583.333333333336</v>
          </cell>
        </row>
        <row r="39">
          <cell r="I39">
            <v>3750</v>
          </cell>
        </row>
        <row r="42">
          <cell r="I42">
            <v>32000</v>
          </cell>
        </row>
        <row r="44">
          <cell r="I44">
            <v>16000</v>
          </cell>
        </row>
        <row r="47">
          <cell r="I47">
            <v>96000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Forside"/>
      <sheetName val="Kalkulator"/>
      <sheetName val="SK"/>
      <sheetName val="Andre kommuner"/>
      <sheetName val="Norges eiendommer"/>
      <sheetName val="Pos_tjen"/>
    </sheetNames>
    <sheetDataSet>
      <sheetData sheetId="0"/>
      <sheetData sheetId="1">
        <row r="8">
          <cell r="I8">
            <v>21000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103775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I20">
            <v>24000</v>
          </cell>
        </row>
        <row r="21">
          <cell r="I21">
            <v>6000</v>
          </cell>
        </row>
        <row r="22">
          <cell r="I22">
            <v>0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>
            <v>30000</v>
          </cell>
        </row>
        <row r="26">
          <cell r="I26">
            <v>0</v>
          </cell>
        </row>
        <row r="27">
          <cell r="I27">
            <v>96250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35000</v>
          </cell>
        </row>
        <row r="42">
          <cell r="I42">
            <v>0</v>
          </cell>
        </row>
        <row r="43">
          <cell r="I43">
            <v>0</v>
          </cell>
        </row>
        <row r="44">
          <cell r="I44">
            <v>0</v>
          </cell>
        </row>
        <row r="45">
          <cell r="I45">
            <v>0</v>
          </cell>
        </row>
        <row r="46">
          <cell r="I46">
            <v>105000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Forside"/>
      <sheetName val="Kalkulator"/>
      <sheetName val="SK"/>
      <sheetName val="Andre kommuner"/>
      <sheetName val="Norges eiendommer"/>
      <sheetName val="Pos_tjen"/>
    </sheetNames>
    <sheetDataSet>
      <sheetData sheetId="0"/>
      <sheetData sheetId="1">
        <row r="8">
          <cell r="I8">
            <v>10200</v>
          </cell>
        </row>
        <row r="9">
          <cell r="I9">
            <v>0</v>
          </cell>
        </row>
        <row r="10">
          <cell r="I10">
            <v>138000</v>
          </cell>
        </row>
        <row r="11">
          <cell r="I11">
            <v>36000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29650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I20">
            <v>122400</v>
          </cell>
        </row>
        <row r="21">
          <cell r="I21">
            <v>40800</v>
          </cell>
        </row>
        <row r="22">
          <cell r="I22">
            <v>0</v>
          </cell>
        </row>
        <row r="23">
          <cell r="I23">
            <v>9000</v>
          </cell>
        </row>
        <row r="24">
          <cell r="I24">
            <v>0</v>
          </cell>
        </row>
        <row r="25">
          <cell r="I25">
            <v>30000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4">
          <cell r="I44">
            <v>0</v>
          </cell>
        </row>
        <row r="45">
          <cell r="I45">
            <v>0</v>
          </cell>
        </row>
        <row r="46">
          <cell r="I46">
            <v>30000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orside"/>
      <sheetName val="Kalkulator"/>
      <sheetName val="SK"/>
      <sheetName val="Andre kommuner"/>
      <sheetName val="Norges eiendommer"/>
      <sheetName val="Pos_tjen"/>
    </sheetNames>
    <sheetDataSet>
      <sheetData sheetId="0"/>
      <sheetData sheetId="1">
        <row r="8">
          <cell r="I8">
            <v>6000</v>
          </cell>
        </row>
        <row r="9">
          <cell r="I9">
            <v>0</v>
          </cell>
        </row>
        <row r="10">
          <cell r="I10">
            <v>138000</v>
          </cell>
        </row>
        <row r="11">
          <cell r="I11">
            <v>36000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29650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I20">
            <v>96000</v>
          </cell>
        </row>
        <row r="21">
          <cell r="I21">
            <v>24000</v>
          </cell>
        </row>
        <row r="22">
          <cell r="I22">
            <v>0</v>
          </cell>
        </row>
        <row r="23">
          <cell r="I23">
            <v>36000</v>
          </cell>
        </row>
        <row r="24">
          <cell r="I24">
            <v>0</v>
          </cell>
        </row>
        <row r="25">
          <cell r="I25">
            <v>120000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29000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2000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40000</v>
          </cell>
        </row>
        <row r="42">
          <cell r="I42">
            <v>0</v>
          </cell>
        </row>
        <row r="43">
          <cell r="I43">
            <v>0</v>
          </cell>
        </row>
        <row r="44">
          <cell r="I44">
            <v>0</v>
          </cell>
        </row>
        <row r="45">
          <cell r="I45">
            <v>0</v>
          </cell>
        </row>
        <row r="46">
          <cell r="I46">
            <v>120000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Forside"/>
      <sheetName val="Kalkulator"/>
      <sheetName val="SK"/>
      <sheetName val="Andre kommuner"/>
      <sheetName val="Norges eiendommer"/>
      <sheetName val="Pos_tjen"/>
    </sheetNames>
    <sheetDataSet>
      <sheetData sheetId="0"/>
      <sheetData sheetId="1">
        <row r="8">
          <cell r="I8">
            <v>8400</v>
          </cell>
        </row>
        <row r="9">
          <cell r="I9">
            <v>0</v>
          </cell>
        </row>
        <row r="10">
          <cell r="I10">
            <v>138000</v>
          </cell>
        </row>
        <row r="11">
          <cell r="I11">
            <v>36000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41510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I20">
            <v>67200</v>
          </cell>
        </row>
        <row r="21">
          <cell r="I21">
            <v>8400</v>
          </cell>
        </row>
        <row r="22">
          <cell r="I22">
            <v>0</v>
          </cell>
        </row>
        <row r="23">
          <cell r="I23">
            <v>12600</v>
          </cell>
        </row>
        <row r="24">
          <cell r="I24">
            <v>0</v>
          </cell>
        </row>
        <row r="25">
          <cell r="I25">
            <v>84000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4000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14000</v>
          </cell>
        </row>
        <row r="42">
          <cell r="I42">
            <v>0</v>
          </cell>
        </row>
        <row r="43">
          <cell r="I43">
            <v>7000</v>
          </cell>
        </row>
        <row r="44">
          <cell r="I44">
            <v>0</v>
          </cell>
        </row>
        <row r="45">
          <cell r="I45">
            <v>0</v>
          </cell>
        </row>
        <row r="46">
          <cell r="I46">
            <v>30000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Forside"/>
      <sheetName val="Kalkulator"/>
      <sheetName val="SK"/>
      <sheetName val="Andre kommuner"/>
      <sheetName val="Norges eiendommer"/>
      <sheetName val="Pos_tjen"/>
    </sheetNames>
    <sheetDataSet>
      <sheetData sheetId="0"/>
      <sheetData sheetId="1">
        <row r="8">
          <cell r="I8">
            <v>13200.000000000002</v>
          </cell>
        </row>
        <row r="9">
          <cell r="I9">
            <v>0</v>
          </cell>
        </row>
        <row r="10">
          <cell r="I10">
            <v>303600</v>
          </cell>
        </row>
        <row r="11">
          <cell r="I11">
            <v>79200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65230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I20">
            <v>211200</v>
          </cell>
        </row>
        <row r="21">
          <cell r="I21">
            <v>13200</v>
          </cell>
        </row>
        <row r="22">
          <cell r="I22">
            <v>0</v>
          </cell>
        </row>
        <row r="23">
          <cell r="I23">
            <v>19800.000000000004</v>
          </cell>
        </row>
        <row r="24">
          <cell r="I24">
            <v>0</v>
          </cell>
        </row>
        <row r="25">
          <cell r="I25">
            <v>66000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29000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18333.333333333332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22000</v>
          </cell>
        </row>
        <row r="43">
          <cell r="I43">
            <v>0</v>
          </cell>
        </row>
        <row r="44">
          <cell r="I44">
            <v>11000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66000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Forside"/>
      <sheetName val="Kalkulator"/>
      <sheetName val="SK"/>
      <sheetName val="Andre kommuner"/>
      <sheetName val="Norges eiendommer"/>
      <sheetName val="Pos_tjen"/>
    </sheetNames>
    <sheetDataSet>
      <sheetData sheetId="0"/>
      <sheetData sheetId="1">
        <row r="8">
          <cell r="I8">
            <v>6000</v>
          </cell>
        </row>
        <row r="9">
          <cell r="I9">
            <v>0</v>
          </cell>
        </row>
        <row r="10">
          <cell r="I10">
            <v>138000</v>
          </cell>
        </row>
        <row r="11">
          <cell r="I11">
            <v>36000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29650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I20">
            <v>24000</v>
          </cell>
        </row>
        <row r="21">
          <cell r="I21">
            <v>6000</v>
          </cell>
        </row>
        <row r="22">
          <cell r="I22">
            <v>0</v>
          </cell>
        </row>
        <row r="23">
          <cell r="I23">
            <v>9000</v>
          </cell>
        </row>
        <row r="24">
          <cell r="I24">
            <v>0</v>
          </cell>
        </row>
        <row r="25">
          <cell r="I25">
            <v>30000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16333.333333333332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4">
          <cell r="I44">
            <v>0</v>
          </cell>
        </row>
        <row r="45">
          <cell r="I45">
            <v>0</v>
          </cell>
        </row>
        <row r="46">
          <cell r="I46">
            <v>30000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Forside"/>
      <sheetName val="Kalkulator"/>
      <sheetName val="SK"/>
      <sheetName val="Andre kommuner"/>
      <sheetName val="Norges eiendommer"/>
      <sheetName val="Pos_tjen"/>
    </sheetNames>
    <sheetDataSet>
      <sheetData sheetId="0"/>
      <sheetData sheetId="1">
        <row r="8">
          <cell r="I8">
            <v>6600.0000000000009</v>
          </cell>
        </row>
        <row r="9">
          <cell r="I9">
            <v>0</v>
          </cell>
        </row>
        <row r="10">
          <cell r="I10">
            <v>151800</v>
          </cell>
        </row>
        <row r="11">
          <cell r="I11">
            <v>39600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32615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I20">
            <v>26400</v>
          </cell>
        </row>
        <row r="21">
          <cell r="I21">
            <v>6600</v>
          </cell>
        </row>
        <row r="22">
          <cell r="I22">
            <v>0</v>
          </cell>
        </row>
        <row r="23">
          <cell r="I23">
            <v>9900.0000000000018</v>
          </cell>
        </row>
        <row r="24">
          <cell r="I24">
            <v>0</v>
          </cell>
        </row>
        <row r="25">
          <cell r="I25">
            <v>33000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11000</v>
          </cell>
        </row>
        <row r="42">
          <cell r="I42">
            <v>0</v>
          </cell>
        </row>
        <row r="43">
          <cell r="I43">
            <v>5500</v>
          </cell>
        </row>
        <row r="44">
          <cell r="I44">
            <v>0</v>
          </cell>
        </row>
        <row r="45">
          <cell r="I45">
            <v>0</v>
          </cell>
        </row>
        <row r="46">
          <cell r="I46">
            <v>33000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Forside"/>
      <sheetName val="Kalkulator"/>
      <sheetName val="SK"/>
      <sheetName val="Andre kommuner"/>
      <sheetName val="Norges eiendommer"/>
      <sheetName val="Pos_tjen"/>
    </sheetNames>
    <sheetDataSet>
      <sheetData sheetId="0"/>
      <sheetData sheetId="1"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4">
          <cell r="I14">
            <v>77090</v>
          </cell>
        </row>
        <row r="15">
          <cell r="I15">
            <v>0</v>
          </cell>
        </row>
        <row r="20">
          <cell r="I20">
            <v>93600</v>
          </cell>
        </row>
        <row r="21">
          <cell r="I21">
            <v>23400</v>
          </cell>
        </row>
        <row r="23">
          <cell r="I23">
            <v>0</v>
          </cell>
        </row>
        <row r="25">
          <cell r="I25">
            <v>39000</v>
          </cell>
        </row>
        <row r="27">
          <cell r="I27">
            <v>78000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29000</v>
          </cell>
        </row>
        <row r="32">
          <cell r="I32">
            <v>0</v>
          </cell>
        </row>
        <row r="37">
          <cell r="I37">
            <v>0</v>
          </cell>
        </row>
        <row r="38">
          <cell r="I38">
            <v>0</v>
          </cell>
        </row>
        <row r="41">
          <cell r="I41">
            <v>0</v>
          </cell>
        </row>
        <row r="43">
          <cell r="I43">
            <v>0</v>
          </cell>
        </row>
        <row r="46">
          <cell r="I46">
            <v>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Forside"/>
      <sheetName val="Kalkulator"/>
      <sheetName val="SK"/>
      <sheetName val="Andre kommuner"/>
      <sheetName val="Norges eiendommer"/>
      <sheetName val="Pos_tjen"/>
    </sheetNames>
    <sheetDataSet>
      <sheetData sheetId="0"/>
      <sheetData sheetId="1">
        <row r="8">
          <cell r="I8">
            <v>7800</v>
          </cell>
        </row>
        <row r="9">
          <cell r="I9">
            <v>0</v>
          </cell>
        </row>
        <row r="10">
          <cell r="I10">
            <v>179400</v>
          </cell>
        </row>
        <row r="11">
          <cell r="I11">
            <v>46800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38545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I20">
            <v>31200</v>
          </cell>
        </row>
        <row r="21">
          <cell r="I21">
            <v>7800</v>
          </cell>
        </row>
        <row r="22">
          <cell r="I22">
            <v>0</v>
          </cell>
        </row>
        <row r="23">
          <cell r="I23">
            <v>11700</v>
          </cell>
        </row>
        <row r="24">
          <cell r="I24">
            <v>0</v>
          </cell>
        </row>
        <row r="25">
          <cell r="I25">
            <v>39000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6500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4">
          <cell r="I44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39000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Forside"/>
      <sheetName val="Kalkulator"/>
      <sheetName val="SK"/>
      <sheetName val="Andre kommuner"/>
      <sheetName val="Norges eiendommer"/>
    </sheetNames>
    <sheetDataSet>
      <sheetData sheetId="0"/>
      <sheetData sheetId="1">
        <row r="8">
          <cell r="I8">
            <v>48000</v>
          </cell>
        </row>
        <row r="10">
          <cell r="I10">
            <v>1656000</v>
          </cell>
        </row>
        <row r="11">
          <cell r="I11">
            <v>432000</v>
          </cell>
        </row>
        <row r="14">
          <cell r="I14">
            <v>474400</v>
          </cell>
        </row>
        <row r="15">
          <cell r="I15">
            <v>0</v>
          </cell>
        </row>
        <row r="20">
          <cell r="I20">
            <v>384000</v>
          </cell>
        </row>
        <row r="21">
          <cell r="I21">
            <v>96000</v>
          </cell>
        </row>
        <row r="23">
          <cell r="I23">
            <v>72000</v>
          </cell>
        </row>
        <row r="25">
          <cell r="I25">
            <v>120000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29000</v>
          </cell>
        </row>
        <row r="32">
          <cell r="I32">
            <v>0</v>
          </cell>
        </row>
        <row r="37">
          <cell r="I37">
            <v>0</v>
          </cell>
        </row>
        <row r="38">
          <cell r="I38">
            <v>0</v>
          </cell>
        </row>
        <row r="41">
          <cell r="I41">
            <v>100000</v>
          </cell>
        </row>
        <row r="43">
          <cell r="I43">
            <v>40000</v>
          </cell>
        </row>
        <row r="46">
          <cell r="I46">
            <v>120000</v>
          </cell>
        </row>
      </sheetData>
      <sheetData sheetId="2"/>
      <sheetData sheetId="3"/>
      <sheetData sheetId="4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Forside"/>
      <sheetName val="Kalkulator"/>
      <sheetName val="SK"/>
      <sheetName val="Andre kommuner"/>
      <sheetName val="Norges eiendommer"/>
      <sheetName val="Pos_tjen"/>
      <sheetName val="Eiendom_RHF"/>
      <sheetName val="Fordeling RHF"/>
    </sheetNames>
    <sheetDataSet>
      <sheetData sheetId="0"/>
      <sheetData sheetId="1">
        <row r="8">
          <cell r="I8">
            <v>24000</v>
          </cell>
        </row>
        <row r="9">
          <cell r="I9">
            <v>0</v>
          </cell>
        </row>
        <row r="10">
          <cell r="I10">
            <v>552000</v>
          </cell>
        </row>
        <row r="11">
          <cell r="I11">
            <v>144000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118600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I20">
            <v>192000</v>
          </cell>
        </row>
        <row r="21">
          <cell r="I21">
            <v>96000</v>
          </cell>
        </row>
        <row r="22">
          <cell r="I22">
            <v>0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>
            <v>120000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K29">
            <v>39000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40000</v>
          </cell>
        </row>
        <row r="42">
          <cell r="I42">
            <v>0</v>
          </cell>
        </row>
        <row r="43">
          <cell r="I43">
            <v>20000</v>
          </cell>
        </row>
        <row r="44">
          <cell r="I44">
            <v>0</v>
          </cell>
        </row>
        <row r="45">
          <cell r="I45">
            <v>0</v>
          </cell>
        </row>
        <row r="46">
          <cell r="I46">
            <v>120000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Forside"/>
      <sheetName val="Kalkulator"/>
      <sheetName val="SK"/>
      <sheetName val="Andre kommuner"/>
      <sheetName val="Norges eiendommer"/>
      <sheetName val="Pos_tjen"/>
    </sheetNames>
    <sheetDataSet>
      <sheetData sheetId="0"/>
      <sheetData sheetId="1">
        <row r="8">
          <cell r="I8">
            <v>6000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14825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I20">
            <v>36000</v>
          </cell>
        </row>
        <row r="21">
          <cell r="I21">
            <v>3000</v>
          </cell>
        </row>
        <row r="22">
          <cell r="I22">
            <v>0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>
            <v>15000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4000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4">
          <cell r="I44">
            <v>0</v>
          </cell>
        </row>
        <row r="45">
          <cell r="I45">
            <v>0</v>
          </cell>
        </row>
        <row r="46">
          <cell r="I46">
            <v>30000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Forside"/>
      <sheetName val="Kalkulator"/>
      <sheetName val="SK"/>
      <sheetName val="Andre kommuner"/>
      <sheetName val="Norges eiendommer"/>
      <sheetName val="Pos_tjen"/>
    </sheetNames>
    <sheetDataSet>
      <sheetData sheetId="0"/>
      <sheetData sheetId="1">
        <row r="8">
          <cell r="I8">
            <v>6000</v>
          </cell>
        </row>
        <row r="9">
          <cell r="I9">
            <v>0</v>
          </cell>
        </row>
        <row r="10">
          <cell r="I10">
            <v>276000</v>
          </cell>
        </row>
        <row r="11">
          <cell r="I11">
            <v>36000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59300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I20">
            <v>72000</v>
          </cell>
        </row>
        <row r="21">
          <cell r="I21">
            <v>6000</v>
          </cell>
        </row>
        <row r="22">
          <cell r="I22">
            <v>0</v>
          </cell>
        </row>
        <row r="23">
          <cell r="I23">
            <v>9000</v>
          </cell>
        </row>
        <row r="24">
          <cell r="I24">
            <v>0</v>
          </cell>
        </row>
        <row r="25">
          <cell r="I25">
            <v>30000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10000</v>
          </cell>
        </row>
        <row r="42">
          <cell r="I42">
            <v>0</v>
          </cell>
        </row>
        <row r="43">
          <cell r="I43">
            <v>5000</v>
          </cell>
        </row>
        <row r="44">
          <cell r="I44">
            <v>0</v>
          </cell>
        </row>
        <row r="45">
          <cell r="I45">
            <v>0</v>
          </cell>
        </row>
        <row r="46">
          <cell r="I46">
            <v>30000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side"/>
      <sheetName val="Kalkulator"/>
      <sheetName val="SK"/>
      <sheetName val="Andre kommuner"/>
      <sheetName val="Norges eiendommer"/>
      <sheetName val="Pos_tjen"/>
    </sheetNames>
    <sheetDataSet>
      <sheetData sheetId="0"/>
      <sheetData sheetId="1">
        <row r="8">
          <cell r="I8">
            <v>12000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59300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I20">
            <v>48000</v>
          </cell>
        </row>
        <row r="21">
          <cell r="I21">
            <v>12000</v>
          </cell>
        </row>
        <row r="22">
          <cell r="I22">
            <v>0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>
            <v>60000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29000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20000</v>
          </cell>
        </row>
        <row r="43">
          <cell r="I43">
            <v>0</v>
          </cell>
        </row>
        <row r="44">
          <cell r="I44">
            <v>10000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60000</v>
          </cell>
        </row>
        <row r="49">
          <cell r="I49">
            <v>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Forside"/>
      <sheetName val="Kalkulator"/>
      <sheetName val="SK"/>
      <sheetName val="Andre kommuner"/>
      <sheetName val="Norges eiendommer"/>
      <sheetName val="Pos_tjen"/>
      <sheetName val="Spes.ark"/>
    </sheetNames>
    <sheetDataSet>
      <sheetData sheetId="0"/>
      <sheetData sheetId="1">
        <row r="8">
          <cell r="L8">
            <v>1825.9105163276752</v>
          </cell>
        </row>
        <row r="9">
          <cell r="L9">
            <v>0</v>
          </cell>
        </row>
        <row r="10">
          <cell r="L10">
            <v>41995.941875536526</v>
          </cell>
        </row>
        <row r="11">
          <cell r="L11">
            <v>10955.463097966051</v>
          </cell>
        </row>
        <row r="12">
          <cell r="L12">
            <v>0</v>
          </cell>
        </row>
        <row r="13">
          <cell r="L13">
            <v>0</v>
          </cell>
        </row>
        <row r="14">
          <cell r="L14">
            <v>9023.041134852594</v>
          </cell>
        </row>
        <row r="15">
          <cell r="L15">
            <v>0</v>
          </cell>
        </row>
        <row r="16">
          <cell r="L16">
            <v>0</v>
          </cell>
        </row>
        <row r="17">
          <cell r="L17">
            <v>0</v>
          </cell>
        </row>
        <row r="18">
          <cell r="L18">
            <v>0</v>
          </cell>
        </row>
        <row r="19">
          <cell r="L19">
            <v>0</v>
          </cell>
        </row>
        <row r="20">
          <cell r="L20">
            <v>7303.6420653107007</v>
          </cell>
        </row>
        <row r="21">
          <cell r="L21">
            <v>1825.9105163276752</v>
          </cell>
        </row>
        <row r="22">
          <cell r="L22">
            <v>0</v>
          </cell>
        </row>
        <row r="23">
          <cell r="L23">
            <v>2738.8657744915126</v>
          </cell>
        </row>
        <row r="24">
          <cell r="L24">
            <v>0</v>
          </cell>
        </row>
        <row r="25">
          <cell r="L25">
            <v>9129.5525816383742</v>
          </cell>
        </row>
        <row r="26">
          <cell r="L26">
            <v>0</v>
          </cell>
        </row>
        <row r="27">
          <cell r="L27">
            <v>6847.1644362287807</v>
          </cell>
        </row>
        <row r="28">
          <cell r="L28">
            <v>0</v>
          </cell>
        </row>
        <row r="29">
          <cell r="L29">
            <v>0</v>
          </cell>
        </row>
        <row r="30">
          <cell r="L30">
            <v>0</v>
          </cell>
        </row>
        <row r="31">
          <cell r="L31">
            <v>0</v>
          </cell>
        </row>
        <row r="32">
          <cell r="L32">
            <v>0</v>
          </cell>
        </row>
        <row r="33">
          <cell r="L33">
            <v>0</v>
          </cell>
        </row>
        <row r="34">
          <cell r="L34">
            <v>0</v>
          </cell>
        </row>
        <row r="35">
          <cell r="L35">
            <v>0</v>
          </cell>
        </row>
        <row r="36">
          <cell r="L36">
            <v>0</v>
          </cell>
        </row>
        <row r="37">
          <cell r="L37">
            <v>0</v>
          </cell>
        </row>
        <row r="38">
          <cell r="L38">
            <v>0</v>
          </cell>
        </row>
        <row r="39">
          <cell r="L39">
            <v>0</v>
          </cell>
        </row>
        <row r="40">
          <cell r="L40">
            <v>0</v>
          </cell>
        </row>
        <row r="41">
          <cell r="L41">
            <v>0</v>
          </cell>
        </row>
        <row r="42">
          <cell r="L42">
            <v>0</v>
          </cell>
        </row>
        <row r="43">
          <cell r="L43">
            <v>5000</v>
          </cell>
        </row>
        <row r="44">
          <cell r="L44">
            <v>0</v>
          </cell>
        </row>
        <row r="45">
          <cell r="L45">
            <v>0</v>
          </cell>
        </row>
        <row r="46">
          <cell r="L46">
            <v>9129.5525816383742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Forside"/>
      <sheetName val="Kalkulator"/>
      <sheetName val="SK"/>
      <sheetName val="Andre kommuner"/>
      <sheetName val="Norges eiendommer"/>
      <sheetName val="Pos_tjen"/>
    </sheetNames>
    <sheetDataSet>
      <sheetData sheetId="0"/>
      <sheetData sheetId="1"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332080</v>
          </cell>
        </row>
        <row r="15">
          <cell r="I15">
            <v>106512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28000</v>
          </cell>
        </row>
        <row r="42">
          <cell r="I42">
            <v>0</v>
          </cell>
        </row>
        <row r="43">
          <cell r="I43">
            <v>0</v>
          </cell>
        </row>
        <row r="44">
          <cell r="I44">
            <v>0</v>
          </cell>
        </row>
        <row r="45">
          <cell r="I45">
            <v>0</v>
          </cell>
        </row>
        <row r="46">
          <cell r="I46">
            <v>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Forside"/>
      <sheetName val="Kalkulator"/>
      <sheetName val="SK"/>
      <sheetName val="Andre kommuner"/>
      <sheetName val="Norges eiendommer"/>
      <sheetName val="Pos_tjen"/>
    </sheetNames>
    <sheetDataSet>
      <sheetData sheetId="0"/>
      <sheetData sheetId="1">
        <row r="8">
          <cell r="I8">
            <v>14400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35580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I20">
            <v>28800</v>
          </cell>
        </row>
        <row r="21">
          <cell r="I21">
            <v>7200</v>
          </cell>
        </row>
        <row r="22">
          <cell r="I22">
            <v>0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>
            <v>36000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29000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4">
          <cell r="I44">
            <v>0</v>
          </cell>
        </row>
        <row r="45">
          <cell r="I45">
            <v>0</v>
          </cell>
        </row>
        <row r="46">
          <cell r="I46">
            <v>36000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Forside"/>
      <sheetName val="Kalkulator"/>
      <sheetName val="SK"/>
      <sheetName val="Andre kommuner"/>
      <sheetName val="Norges eiendommer"/>
    </sheetNames>
    <sheetDataSet>
      <sheetData sheetId="0"/>
      <sheetData sheetId="1">
        <row r="8">
          <cell r="I8">
            <v>6000</v>
          </cell>
        </row>
        <row r="10">
          <cell r="I10">
            <v>138000</v>
          </cell>
        </row>
        <row r="11">
          <cell r="I11">
            <v>36000</v>
          </cell>
        </row>
        <row r="14">
          <cell r="I14">
            <v>29650</v>
          </cell>
        </row>
        <row r="15">
          <cell r="I15">
            <v>0</v>
          </cell>
        </row>
        <row r="20">
          <cell r="I20">
            <v>24000</v>
          </cell>
        </row>
        <row r="21">
          <cell r="I21">
            <v>6000</v>
          </cell>
        </row>
        <row r="23">
          <cell r="I23">
            <v>9000</v>
          </cell>
        </row>
        <row r="25">
          <cell r="I25">
            <v>30000</v>
          </cell>
        </row>
        <row r="27">
          <cell r="I27">
            <v>30000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2">
          <cell r="I32">
            <v>0</v>
          </cell>
        </row>
        <row r="37">
          <cell r="I37">
            <v>0</v>
          </cell>
        </row>
        <row r="38">
          <cell r="I38">
            <v>0</v>
          </cell>
        </row>
        <row r="41">
          <cell r="I41">
            <v>10000</v>
          </cell>
        </row>
        <row r="43">
          <cell r="I43">
            <v>5000</v>
          </cell>
        </row>
        <row r="46">
          <cell r="I46">
            <v>30000</v>
          </cell>
        </row>
      </sheetData>
      <sheetData sheetId="2"/>
      <sheetData sheetId="3"/>
      <sheetData sheetId="4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Forside"/>
      <sheetName val="Kalkulator"/>
      <sheetName val="SK"/>
      <sheetName val="Andre kommuner"/>
      <sheetName val="Norges eiendommer"/>
      <sheetName val="Pos_tjen"/>
    </sheetNames>
    <sheetDataSet>
      <sheetData sheetId="0"/>
      <sheetData sheetId="1"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474400</v>
          </cell>
        </row>
        <row r="15">
          <cell r="I15">
            <v>152160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I20">
            <v>384000</v>
          </cell>
        </row>
        <row r="21">
          <cell r="I21">
            <v>96000</v>
          </cell>
        </row>
        <row r="22">
          <cell r="I22">
            <v>0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>
            <v>120000</v>
          </cell>
        </row>
        <row r="26">
          <cell r="I26">
            <v>0</v>
          </cell>
        </row>
        <row r="27">
          <cell r="I27">
            <v>90000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29000</v>
          </cell>
        </row>
        <row r="31">
          <cell r="I31">
            <v>0</v>
          </cell>
        </row>
        <row r="32">
          <cell r="I32">
            <v>89600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412000</v>
          </cell>
        </row>
        <row r="38">
          <cell r="I38">
            <v>50833.333333333336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4">
          <cell r="I44">
            <v>0</v>
          </cell>
        </row>
        <row r="45">
          <cell r="I45">
            <v>0</v>
          </cell>
        </row>
        <row r="46">
          <cell r="I46">
            <v>120000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Forside"/>
      <sheetName val="Kalkulator"/>
      <sheetName val="SK"/>
      <sheetName val="Andre kommuner"/>
      <sheetName val="Norges eiendommer"/>
      <sheetName val="Pos_tjen"/>
      <sheetName val="Ark1"/>
    </sheetNames>
    <sheetDataSet>
      <sheetData sheetId="0"/>
      <sheetData sheetId="1">
        <row r="8">
          <cell r="I8">
            <v>7615.4930488475693</v>
          </cell>
        </row>
        <row r="9">
          <cell r="I9">
            <v>0</v>
          </cell>
        </row>
        <row r="10">
          <cell r="I10">
            <v>175156.34012349407</v>
          </cell>
        </row>
        <row r="11">
          <cell r="I11">
            <v>45692.958293085416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37633.228149721734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I20">
            <v>30461.972195390277</v>
          </cell>
        </row>
        <row r="21">
          <cell r="I21">
            <v>7615.4930488475693</v>
          </cell>
        </row>
        <row r="22">
          <cell r="I22">
            <v>0</v>
          </cell>
        </row>
        <row r="23">
          <cell r="I23">
            <v>11423.239573271354</v>
          </cell>
        </row>
        <row r="24">
          <cell r="I24">
            <v>0</v>
          </cell>
        </row>
        <row r="25">
          <cell r="I25">
            <v>38077.465244237843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29000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12692.488414745947</v>
          </cell>
        </row>
        <row r="42">
          <cell r="I42">
            <v>0</v>
          </cell>
        </row>
        <row r="43">
          <cell r="I43">
            <v>6346.2442073729735</v>
          </cell>
        </row>
        <row r="44">
          <cell r="I44">
            <v>0</v>
          </cell>
        </row>
        <row r="45">
          <cell r="I45">
            <v>0</v>
          </cell>
        </row>
        <row r="46">
          <cell r="I46">
            <v>38077.465244237843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Forside"/>
      <sheetName val="Kalkulator"/>
      <sheetName val="SK"/>
      <sheetName val="Andre kommuner"/>
      <sheetName val="Norges eiendommer"/>
      <sheetName val="Pos_tjen"/>
    </sheetNames>
    <sheetDataSet>
      <sheetData sheetId="0"/>
      <sheetData sheetId="1">
        <row r="8">
          <cell r="I8">
            <v>34800</v>
          </cell>
        </row>
        <row r="9">
          <cell r="I9">
            <v>0</v>
          </cell>
        </row>
        <row r="10">
          <cell r="I10">
            <v>138000</v>
          </cell>
        </row>
        <row r="11">
          <cell r="I11">
            <v>104400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29650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I20">
            <v>139200</v>
          </cell>
        </row>
        <row r="21">
          <cell r="I21">
            <v>34800</v>
          </cell>
        </row>
        <row r="22">
          <cell r="I22">
            <v>0</v>
          </cell>
        </row>
        <row r="23">
          <cell r="I23">
            <v>52200</v>
          </cell>
        </row>
        <row r="24">
          <cell r="I24">
            <v>0</v>
          </cell>
        </row>
        <row r="25">
          <cell r="I25">
            <v>87000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29000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14500</v>
          </cell>
        </row>
        <row r="44">
          <cell r="I44">
            <v>0</v>
          </cell>
        </row>
        <row r="45">
          <cell r="I45">
            <v>0</v>
          </cell>
        </row>
        <row r="46">
          <cell r="I46">
            <v>87000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Forside"/>
      <sheetName val="Kalkulator"/>
      <sheetName val="SK"/>
      <sheetName val="Andre kommuner"/>
      <sheetName val="Norges eiendommer"/>
      <sheetName val="Pos_tjen"/>
    </sheetNames>
    <sheetDataSet>
      <sheetData sheetId="0"/>
      <sheetData sheetId="1">
        <row r="8">
          <cell r="I8">
            <v>17400</v>
          </cell>
        </row>
        <row r="9">
          <cell r="I9">
            <v>0</v>
          </cell>
        </row>
        <row r="10">
          <cell r="I10">
            <v>400200</v>
          </cell>
        </row>
        <row r="11">
          <cell r="I11">
            <v>104400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85985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I20">
            <v>139200</v>
          </cell>
        </row>
        <row r="21">
          <cell r="I21">
            <v>17400</v>
          </cell>
        </row>
        <row r="22">
          <cell r="I22">
            <v>0</v>
          </cell>
        </row>
        <row r="23">
          <cell r="I23">
            <v>26100</v>
          </cell>
        </row>
        <row r="24">
          <cell r="I24">
            <v>0</v>
          </cell>
        </row>
        <row r="25">
          <cell r="I25">
            <v>87000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29000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46833.333333333328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4">
          <cell r="I44">
            <v>0</v>
          </cell>
        </row>
        <row r="45">
          <cell r="I45">
            <v>0</v>
          </cell>
        </row>
        <row r="46">
          <cell r="I46">
            <v>87000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Forside"/>
      <sheetName val="Kalkulator"/>
      <sheetName val="SK"/>
      <sheetName val="Andre kommuner"/>
      <sheetName val="Norges eiendommer"/>
    </sheetNames>
    <sheetDataSet>
      <sheetData sheetId="0"/>
      <sheetData sheetId="1">
        <row r="8">
          <cell r="I8">
            <v>16800</v>
          </cell>
        </row>
        <row r="9">
          <cell r="I9">
            <v>0</v>
          </cell>
        </row>
        <row r="10">
          <cell r="I10">
            <v>386400</v>
          </cell>
        </row>
        <row r="11">
          <cell r="I11">
            <v>100800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166040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I20">
            <v>67200</v>
          </cell>
        </row>
        <row r="21">
          <cell r="I21">
            <v>16800</v>
          </cell>
        </row>
        <row r="22">
          <cell r="I22">
            <v>0</v>
          </cell>
        </row>
        <row r="23">
          <cell r="I23">
            <v>25200</v>
          </cell>
        </row>
        <row r="24">
          <cell r="I24">
            <v>0</v>
          </cell>
        </row>
        <row r="25">
          <cell r="I25">
            <v>84000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4">
          <cell r="I44">
            <v>0</v>
          </cell>
        </row>
        <row r="45">
          <cell r="I45">
            <v>0</v>
          </cell>
        </row>
        <row r="46">
          <cell r="I46">
            <v>84000</v>
          </cell>
        </row>
      </sheetData>
      <sheetData sheetId="2"/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Forside"/>
      <sheetName val="Kalkulator"/>
      <sheetName val="SK"/>
      <sheetName val="Andre kommuner"/>
      <sheetName val="Norges eiendommer"/>
      <sheetName val="Pos_tjen"/>
    </sheetNames>
    <sheetDataSet>
      <sheetData sheetId="0"/>
      <sheetData sheetId="1">
        <row r="8">
          <cell r="I8">
            <v>24000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29650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I20">
            <v>72000</v>
          </cell>
        </row>
        <row r="21">
          <cell r="I21">
            <v>12000</v>
          </cell>
        </row>
        <row r="22">
          <cell r="I22">
            <v>0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>
            <v>30000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29000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2916.666666666667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4">
          <cell r="I44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90000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side"/>
      <sheetName val="Kalkulator"/>
      <sheetName val="SK"/>
      <sheetName val="Andre kommuner"/>
      <sheetName val="Norges eiendommer"/>
      <sheetName val="Pos_tjen"/>
    </sheetNames>
    <sheetDataSet>
      <sheetData sheetId="0"/>
      <sheetData sheetId="1">
        <row r="8">
          <cell r="I8">
            <v>6000</v>
          </cell>
        </row>
        <row r="9">
          <cell r="I9">
            <v>0</v>
          </cell>
        </row>
        <row r="10">
          <cell r="I10">
            <v>138000</v>
          </cell>
        </row>
        <row r="11">
          <cell r="I11">
            <v>36000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29650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>
            <v>6000</v>
          </cell>
        </row>
        <row r="22">
          <cell r="I22">
            <v>0</v>
          </cell>
        </row>
        <row r="23">
          <cell r="I23">
            <v>9000</v>
          </cell>
        </row>
        <row r="24">
          <cell r="I24">
            <v>0</v>
          </cell>
        </row>
        <row r="25">
          <cell r="I25">
            <v>30000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4">
          <cell r="I44">
            <v>0</v>
          </cell>
        </row>
        <row r="45">
          <cell r="I45">
            <v>0</v>
          </cell>
        </row>
        <row r="46">
          <cell r="I46">
            <v>30000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Forside"/>
      <sheetName val="Kalkulator"/>
      <sheetName val="SK"/>
      <sheetName val="Andre kommuner"/>
      <sheetName val="Norges eiendommer"/>
      <sheetName val="Pos_tjen"/>
    </sheetNames>
    <sheetDataSet>
      <sheetData sheetId="0"/>
      <sheetData sheetId="1">
        <row r="8">
          <cell r="I8">
            <v>96000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474400</v>
          </cell>
        </row>
        <row r="15">
          <cell r="I15">
            <v>152160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I20">
            <v>384000</v>
          </cell>
        </row>
        <row r="21">
          <cell r="I21">
            <v>96000</v>
          </cell>
        </row>
        <row r="22">
          <cell r="I22">
            <v>0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>
            <v>120000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40000</v>
          </cell>
        </row>
        <row r="42">
          <cell r="I42">
            <v>0</v>
          </cell>
        </row>
        <row r="43">
          <cell r="I43">
            <v>0</v>
          </cell>
        </row>
        <row r="44">
          <cell r="I44">
            <v>0</v>
          </cell>
        </row>
        <row r="45">
          <cell r="I45">
            <v>0</v>
          </cell>
        </row>
        <row r="46">
          <cell r="I46">
            <v>120000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Forside"/>
      <sheetName val="Kalkulator"/>
      <sheetName val="SK"/>
      <sheetName val="Andre kommuner"/>
      <sheetName val="Norges eiendommer"/>
    </sheetNames>
    <sheetDataSet>
      <sheetData sheetId="0"/>
      <sheetData sheetId="1">
        <row r="8">
          <cell r="I8">
            <v>24000</v>
          </cell>
        </row>
        <row r="10">
          <cell r="I10">
            <v>552000</v>
          </cell>
        </row>
        <row r="11">
          <cell r="I11">
            <v>144000</v>
          </cell>
        </row>
        <row r="14">
          <cell r="I14">
            <v>118600</v>
          </cell>
        </row>
        <row r="15">
          <cell r="I15">
            <v>0</v>
          </cell>
        </row>
        <row r="20">
          <cell r="I20">
            <v>96000</v>
          </cell>
        </row>
        <row r="21">
          <cell r="I21">
            <v>24000</v>
          </cell>
        </row>
        <row r="23">
          <cell r="I23">
            <v>36000</v>
          </cell>
        </row>
        <row r="25">
          <cell r="I25">
            <v>120000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29000</v>
          </cell>
        </row>
        <row r="32">
          <cell r="I32">
            <v>0</v>
          </cell>
        </row>
        <row r="37">
          <cell r="I37">
            <v>0</v>
          </cell>
        </row>
        <row r="38">
          <cell r="I38">
            <v>0</v>
          </cell>
        </row>
        <row r="41">
          <cell r="I41">
            <v>40000</v>
          </cell>
        </row>
        <row r="43">
          <cell r="I43">
            <v>20000</v>
          </cell>
        </row>
        <row r="46">
          <cell r="I46">
            <v>120000</v>
          </cell>
        </row>
      </sheetData>
      <sheetData sheetId="2"/>
      <sheetData sheetId="3"/>
      <sheetData sheetId="4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Forside"/>
      <sheetName val="Kalkulator"/>
      <sheetName val="SK"/>
      <sheetName val="Andre kommuner"/>
      <sheetName val="Norges eiendommer"/>
      <sheetName val="Pos_tjen"/>
    </sheetNames>
    <sheetDataSet>
      <sheetData sheetId="0"/>
      <sheetData sheetId="1">
        <row r="8">
          <cell r="I8">
            <v>11400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56335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I20">
            <v>91200</v>
          </cell>
        </row>
        <row r="21">
          <cell r="I21">
            <v>22800</v>
          </cell>
        </row>
        <row r="22">
          <cell r="I22">
            <v>0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>
            <v>57000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19000</v>
          </cell>
        </row>
        <row r="42">
          <cell r="I42">
            <v>0</v>
          </cell>
        </row>
        <row r="43">
          <cell r="I43">
            <v>9500</v>
          </cell>
        </row>
        <row r="44">
          <cell r="I44">
            <v>0</v>
          </cell>
        </row>
        <row r="45">
          <cell r="I45">
            <v>0</v>
          </cell>
        </row>
        <row r="46">
          <cell r="I46">
            <v>57000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side"/>
      <sheetName val="Kalkulator"/>
      <sheetName val="SK"/>
      <sheetName val="Andre kommuner"/>
      <sheetName val="Norges eiendommer"/>
      <sheetName val="Pos_tjen"/>
    </sheetNames>
    <sheetDataSet>
      <sheetData sheetId="0"/>
      <sheetData sheetId="1">
        <row r="8">
          <cell r="I8">
            <v>24000</v>
          </cell>
        </row>
        <row r="9">
          <cell r="I9">
            <v>0</v>
          </cell>
        </row>
        <row r="10">
          <cell r="I10">
            <v>552000</v>
          </cell>
        </row>
        <row r="11">
          <cell r="I11">
            <v>144000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118600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I20">
            <v>96000</v>
          </cell>
        </row>
        <row r="21">
          <cell r="I21">
            <v>24000</v>
          </cell>
        </row>
        <row r="22">
          <cell r="I22">
            <v>0</v>
          </cell>
        </row>
        <row r="23">
          <cell r="I23">
            <v>36000</v>
          </cell>
        </row>
        <row r="24">
          <cell r="I24">
            <v>0</v>
          </cell>
        </row>
        <row r="25">
          <cell r="I25">
            <v>120000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40000</v>
          </cell>
        </row>
        <row r="42">
          <cell r="I42">
            <v>0</v>
          </cell>
        </row>
        <row r="43">
          <cell r="I43">
            <v>20000</v>
          </cell>
        </row>
        <row r="44">
          <cell r="I44">
            <v>0</v>
          </cell>
        </row>
        <row r="45">
          <cell r="I45">
            <v>0</v>
          </cell>
        </row>
        <row r="46">
          <cell r="I46">
            <v>120000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Forside"/>
      <sheetName val="Kalkulator"/>
      <sheetName val="SK"/>
      <sheetName val="Andre kommuner"/>
      <sheetName val="Norges eiendommer"/>
      <sheetName val="Pos_tjen"/>
    </sheetNames>
    <sheetDataSet>
      <sheetData sheetId="0"/>
      <sheetData sheetId="1">
        <row r="8">
          <cell r="I8">
            <v>6000</v>
          </cell>
        </row>
        <row r="9">
          <cell r="I9">
            <v>0</v>
          </cell>
        </row>
        <row r="10">
          <cell r="I10">
            <v>138000</v>
          </cell>
        </row>
        <row r="11">
          <cell r="I11">
            <v>36000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29650</v>
          </cell>
        </row>
        <row r="15">
          <cell r="I15">
            <v>-2000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I20">
            <v>24000</v>
          </cell>
        </row>
        <row r="21">
          <cell r="I21">
            <v>6000</v>
          </cell>
        </row>
        <row r="22">
          <cell r="I22">
            <v>0</v>
          </cell>
        </row>
        <row r="23">
          <cell r="I23">
            <v>9000</v>
          </cell>
        </row>
        <row r="24">
          <cell r="I24">
            <v>0</v>
          </cell>
        </row>
        <row r="25">
          <cell r="I25">
            <v>30000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-17500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10000</v>
          </cell>
        </row>
        <row r="42">
          <cell r="I42">
            <v>0</v>
          </cell>
        </row>
        <row r="43">
          <cell r="I43">
            <v>5000</v>
          </cell>
        </row>
        <row r="44">
          <cell r="I44">
            <v>0</v>
          </cell>
        </row>
        <row r="45">
          <cell r="I45">
            <v>0</v>
          </cell>
        </row>
        <row r="46">
          <cell r="I46">
            <v>30000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Forside"/>
      <sheetName val="Kalkulator"/>
      <sheetName val="SK"/>
      <sheetName val="Andre kommuner"/>
      <sheetName val="Norges eiendommer"/>
      <sheetName val="Pos_tjen"/>
    </sheetNames>
    <sheetDataSet>
      <sheetData sheetId="0"/>
      <sheetData sheetId="1">
        <row r="8">
          <cell r="I8">
            <v>9000</v>
          </cell>
        </row>
        <row r="9">
          <cell r="I9">
            <v>0</v>
          </cell>
        </row>
        <row r="10">
          <cell r="I10">
            <v>207000</v>
          </cell>
        </row>
        <row r="11">
          <cell r="I11">
            <v>54000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44475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I20">
            <v>144000</v>
          </cell>
        </row>
        <row r="21">
          <cell r="I21">
            <v>9000</v>
          </cell>
        </row>
        <row r="22">
          <cell r="I22">
            <v>0</v>
          </cell>
        </row>
        <row r="23">
          <cell r="I23">
            <v>13500</v>
          </cell>
        </row>
        <row r="24">
          <cell r="I24">
            <v>0</v>
          </cell>
        </row>
        <row r="25">
          <cell r="I25">
            <v>90000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4000</v>
          </cell>
        </row>
        <row r="29">
          <cell r="I29">
            <v>7000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4">
          <cell r="I44">
            <v>0</v>
          </cell>
        </row>
        <row r="45">
          <cell r="I45">
            <v>0</v>
          </cell>
        </row>
        <row r="46">
          <cell r="I46">
            <v>90000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Forside"/>
      <sheetName val="Kalkulator"/>
      <sheetName val="SK"/>
      <sheetName val="Andre kommuner"/>
      <sheetName val="Norges eiendommer"/>
      <sheetName val="Pos_tjen"/>
    </sheetNames>
    <sheetDataSet>
      <sheetData sheetId="0"/>
      <sheetData sheetId="1">
        <row r="8">
          <cell r="I8">
            <v>15000</v>
          </cell>
        </row>
        <row r="9">
          <cell r="I9">
            <v>0</v>
          </cell>
        </row>
        <row r="10">
          <cell r="I10">
            <v>345000</v>
          </cell>
        </row>
        <row r="11">
          <cell r="I11">
            <v>36000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74125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I20">
            <v>60000</v>
          </cell>
        </row>
        <row r="21">
          <cell r="I21">
            <v>15000</v>
          </cell>
        </row>
        <row r="22">
          <cell r="I22">
            <v>0</v>
          </cell>
        </row>
        <row r="23">
          <cell r="I23">
            <v>22500</v>
          </cell>
        </row>
        <row r="24">
          <cell r="I24">
            <v>0</v>
          </cell>
        </row>
        <row r="25">
          <cell r="I25">
            <v>75000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10276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12500</v>
          </cell>
        </row>
        <row r="44">
          <cell r="I44">
            <v>0</v>
          </cell>
        </row>
        <row r="45">
          <cell r="I45">
            <v>0</v>
          </cell>
        </row>
        <row r="46">
          <cell r="I46">
            <v>75000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Forside"/>
      <sheetName val="Kalkulator"/>
      <sheetName val="SK"/>
      <sheetName val="Andre kommuner"/>
      <sheetName val="Norges eiendommer"/>
      <sheetName val="Pos_tjen"/>
    </sheetNames>
    <sheetDataSet>
      <sheetData sheetId="0"/>
      <sheetData sheetId="1">
        <row r="8">
          <cell r="I8">
            <v>9600</v>
          </cell>
        </row>
        <row r="9">
          <cell r="I9">
            <v>0</v>
          </cell>
        </row>
        <row r="10">
          <cell r="I10">
            <v>220800</v>
          </cell>
        </row>
        <row r="11">
          <cell r="I11">
            <v>36000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29650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I20">
            <v>38400</v>
          </cell>
        </row>
        <row r="21">
          <cell r="I21">
            <v>9600</v>
          </cell>
        </row>
        <row r="22">
          <cell r="I22">
            <v>0</v>
          </cell>
        </row>
        <row r="23">
          <cell r="I23">
            <v>14400</v>
          </cell>
        </row>
        <row r="24">
          <cell r="I24">
            <v>0</v>
          </cell>
        </row>
        <row r="25">
          <cell r="I25">
            <v>30000</v>
          </cell>
        </row>
        <row r="26">
          <cell r="I26">
            <v>0</v>
          </cell>
        </row>
        <row r="27">
          <cell r="I27">
            <v>36000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29000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422500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4">
          <cell r="I44">
            <v>0</v>
          </cell>
        </row>
        <row r="45">
          <cell r="I45">
            <v>0</v>
          </cell>
        </row>
        <row r="46">
          <cell r="I46">
            <v>48000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H26"/>
  <sheetViews>
    <sheetView workbookViewId="0">
      <selection activeCell="I31" sqref="I31"/>
    </sheetView>
  </sheetViews>
  <sheetFormatPr baseColWidth="10" defaultRowHeight="12.75"/>
  <cols>
    <col min="1" max="2" width="9.7109375" customWidth="1"/>
    <col min="7" max="8" width="9.7109375" customWidth="1"/>
  </cols>
  <sheetData>
    <row r="8" spans="3:6">
      <c r="C8" s="183" t="s">
        <v>105</v>
      </c>
      <c r="D8" s="183"/>
      <c r="E8" s="183"/>
      <c r="F8" s="183"/>
    </row>
    <row r="9" spans="3:6">
      <c r="C9" s="183"/>
      <c r="D9" s="183"/>
      <c r="E9" s="183"/>
      <c r="F9" s="183"/>
    </row>
    <row r="10" spans="3:6">
      <c r="C10" s="183"/>
      <c r="D10" s="183"/>
      <c r="E10" s="183"/>
      <c r="F10" s="183"/>
    </row>
    <row r="11" spans="3:6">
      <c r="C11" s="183"/>
      <c r="D11" s="183"/>
      <c r="E11" s="183"/>
      <c r="F11" s="183"/>
    </row>
    <row r="13" spans="3:6">
      <c r="C13" s="184">
        <v>2010</v>
      </c>
      <c r="D13" s="184"/>
      <c r="E13" s="184"/>
      <c r="F13" s="184"/>
    </row>
    <row r="14" spans="3:6">
      <c r="C14" s="184"/>
      <c r="D14" s="184"/>
      <c r="E14" s="184"/>
      <c r="F14" s="184"/>
    </row>
    <row r="15" spans="3:6" ht="35.25">
      <c r="C15" s="15"/>
      <c r="D15" s="15"/>
      <c r="E15" s="15"/>
      <c r="F15" s="15"/>
    </row>
    <row r="16" spans="3:6" ht="35.25">
      <c r="C16" s="15"/>
      <c r="D16" s="15"/>
      <c r="E16" s="15"/>
      <c r="F16" s="15"/>
    </row>
    <row r="17" spans="1:8" ht="35.25">
      <c r="C17" s="15"/>
      <c r="D17" s="15"/>
      <c r="E17" s="15"/>
      <c r="F17" s="15"/>
    </row>
    <row r="18" spans="1:8" ht="35.25">
      <c r="C18" s="15"/>
      <c r="D18" s="15"/>
      <c r="E18" s="15"/>
      <c r="F18" s="15"/>
    </row>
    <row r="19" spans="1:8" ht="35.25">
      <c r="C19" s="15"/>
      <c r="D19" s="15"/>
      <c r="E19" s="15"/>
      <c r="F19" s="15"/>
    </row>
    <row r="20" spans="1:8" ht="35.25">
      <c r="C20" s="15"/>
      <c r="D20" s="15"/>
      <c r="E20" s="15"/>
      <c r="F20" s="15"/>
    </row>
    <row r="21" spans="1:8" ht="35.25">
      <c r="C21" s="15"/>
      <c r="D21" s="15"/>
      <c r="E21" s="15"/>
      <c r="F21" s="15"/>
    </row>
    <row r="22" spans="1:8" ht="35.25">
      <c r="C22" s="15"/>
      <c r="D22" s="15"/>
      <c r="E22" s="15"/>
      <c r="F22" s="15"/>
    </row>
    <row r="24" spans="1:8" ht="25.5" customHeight="1">
      <c r="A24" s="185" t="e">
        <f>Kalkulator!#REF!</f>
        <v>#REF!</v>
      </c>
      <c r="B24" s="185"/>
      <c r="C24" s="185"/>
      <c r="D24" s="185"/>
      <c r="E24" s="185"/>
      <c r="F24" s="185"/>
      <c r="G24" s="185"/>
      <c r="H24" s="185"/>
    </row>
    <row r="25" spans="1:8" ht="25.5" customHeight="1">
      <c r="A25" s="185"/>
      <c r="B25" s="185"/>
      <c r="C25" s="185"/>
      <c r="D25" s="185"/>
      <c r="E25" s="185"/>
      <c r="F25" s="185"/>
      <c r="G25" s="185"/>
      <c r="H25" s="185"/>
    </row>
    <row r="26" spans="1:8" ht="25.5" customHeight="1">
      <c r="C26" s="15"/>
      <c r="D26" s="15"/>
      <c r="E26" s="15"/>
      <c r="F26" s="15"/>
    </row>
  </sheetData>
  <sheetProtection password="E1F6" sheet="1" objects="1" scenarios="1"/>
  <mergeCells count="3">
    <mergeCell ref="C8:F11"/>
    <mergeCell ref="C13:F14"/>
    <mergeCell ref="A24:H25"/>
  </mergeCells>
  <phoneticPr fontId="2" type="noConversion"/>
  <pageMargins left="0.78740157499999996" right="0.78740157499999996" top="0.984251969" bottom="0.984251969" header="0.5" footer="0.5"/>
  <pageSetup paperSize="9" orientation="portrait" horizontalDpi="525" verticalDpi="52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S52"/>
  <sheetViews>
    <sheetView showZeros="0" tabSelected="1" zoomScale="110" zoomScaleNormal="110" workbookViewId="0">
      <pane xSplit="1" topLeftCell="B1" activePane="topRight" state="frozen"/>
      <selection activeCell="A2" sqref="A2"/>
      <selection pane="topRight" activeCell="K3" sqref="K3"/>
    </sheetView>
  </sheetViews>
  <sheetFormatPr baseColWidth="10" defaultRowHeight="12"/>
  <cols>
    <col min="1" max="1" width="58.5703125" style="16" customWidth="1"/>
    <col min="2" max="2" width="7.85546875" style="16" bestFit="1" customWidth="1"/>
    <col min="3" max="5" width="6.7109375" style="16" bestFit="1" customWidth="1"/>
    <col min="6" max="6" width="8" style="16" bestFit="1" customWidth="1"/>
    <col min="7" max="10" width="6.7109375" style="16" bestFit="1" customWidth="1"/>
    <col min="11" max="11" width="5.85546875" style="16" bestFit="1" customWidth="1"/>
    <col min="12" max="12" width="6.7109375" style="16" bestFit="1" customWidth="1"/>
    <col min="13" max="14" width="8" style="16" bestFit="1" customWidth="1"/>
    <col min="15" max="15" width="6.7109375" style="16" bestFit="1" customWidth="1"/>
    <col min="16" max="16" width="8" style="16" bestFit="1" customWidth="1"/>
    <col min="17" max="17" width="6.7109375" style="16" bestFit="1" customWidth="1"/>
    <col min="18" max="18" width="8" style="16" bestFit="1" customWidth="1"/>
    <col min="19" max="26" width="6.7109375" style="16" bestFit="1" customWidth="1"/>
    <col min="27" max="27" width="3.140625" style="16" bestFit="1" customWidth="1"/>
    <col min="28" max="29" width="8" style="16" bestFit="1" customWidth="1"/>
    <col min="30" max="32" width="6.7109375" style="16" bestFit="1" customWidth="1"/>
    <col min="33" max="33" width="7.28515625" style="16" bestFit="1" customWidth="1"/>
    <col min="34" max="35" width="6.7109375" style="16" bestFit="1" customWidth="1"/>
    <col min="36" max="36" width="8" style="16" bestFit="1" customWidth="1"/>
    <col min="37" max="38" width="6.7109375" style="16" bestFit="1" customWidth="1"/>
    <col min="39" max="39" width="8" style="16" bestFit="1" customWidth="1"/>
    <col min="40" max="41" width="6.7109375" style="16" bestFit="1" customWidth="1"/>
    <col min="42" max="43" width="8" style="16" bestFit="1" customWidth="1"/>
    <col min="44" max="44" width="6.7109375" style="16" bestFit="1" customWidth="1"/>
    <col min="45" max="45" width="13.140625" style="34" bestFit="1" customWidth="1"/>
    <col min="46" max="16384" width="11.42578125" style="16"/>
  </cols>
  <sheetData>
    <row r="1" spans="1:45" ht="12.75" hidden="1" thickBot="1"/>
    <row r="2" spans="1:45" s="17" customFormat="1" ht="15">
      <c r="A2" s="186" t="s">
        <v>199</v>
      </c>
      <c r="AS2" s="177"/>
    </row>
    <row r="3" spans="1:45" s="17" customFormat="1" ht="15">
      <c r="A3" s="187"/>
      <c r="AS3" s="177"/>
    </row>
    <row r="4" spans="1:45" s="17" customFormat="1" ht="15">
      <c r="A4" s="181" t="s">
        <v>200</v>
      </c>
      <c r="B4" s="18"/>
      <c r="AS4" s="177"/>
    </row>
    <row r="5" spans="1:45" ht="57" customHeight="1">
      <c r="A5" s="19"/>
      <c r="B5" s="174" t="s">
        <v>156</v>
      </c>
      <c r="C5" s="174" t="s">
        <v>174</v>
      </c>
      <c r="D5" s="174" t="s">
        <v>167</v>
      </c>
      <c r="E5" s="174" t="s">
        <v>188</v>
      </c>
      <c r="F5" s="174" t="s">
        <v>177</v>
      </c>
      <c r="G5" s="174" t="s">
        <v>184</v>
      </c>
      <c r="H5" s="174" t="s">
        <v>185</v>
      </c>
      <c r="I5" s="174" t="s">
        <v>186</v>
      </c>
      <c r="J5" s="174" t="s">
        <v>163</v>
      </c>
      <c r="K5" s="174" t="s">
        <v>178</v>
      </c>
      <c r="L5" s="174" t="s">
        <v>157</v>
      </c>
      <c r="M5" s="174" t="s">
        <v>161</v>
      </c>
      <c r="N5" s="174" t="s">
        <v>160</v>
      </c>
      <c r="O5" s="174" t="s">
        <v>158</v>
      </c>
      <c r="P5" s="174" t="s">
        <v>175</v>
      </c>
      <c r="Q5" s="174" t="s">
        <v>187</v>
      </c>
      <c r="R5" s="174" t="s">
        <v>159</v>
      </c>
      <c r="S5" s="174" t="s">
        <v>168</v>
      </c>
      <c r="T5" s="174" t="s">
        <v>165</v>
      </c>
      <c r="U5" s="174" t="s">
        <v>189</v>
      </c>
      <c r="V5" s="174" t="s">
        <v>190</v>
      </c>
      <c r="W5" s="174" t="s">
        <v>191</v>
      </c>
      <c r="X5" s="174" t="s">
        <v>192</v>
      </c>
      <c r="Y5" s="174" t="s">
        <v>193</v>
      </c>
      <c r="Z5" s="174" t="s">
        <v>194</v>
      </c>
      <c r="AA5" s="174" t="s">
        <v>195</v>
      </c>
      <c r="AB5" s="174" t="s">
        <v>164</v>
      </c>
      <c r="AC5" s="174" t="s">
        <v>198</v>
      </c>
      <c r="AD5" s="174" t="s">
        <v>169</v>
      </c>
      <c r="AE5" s="174" t="s">
        <v>172</v>
      </c>
      <c r="AF5" s="174" t="s">
        <v>179</v>
      </c>
      <c r="AG5" s="174" t="s">
        <v>173</v>
      </c>
      <c r="AH5" s="174" t="s">
        <v>196</v>
      </c>
      <c r="AI5" s="174" t="s">
        <v>162</v>
      </c>
      <c r="AJ5" s="174" t="s">
        <v>176</v>
      </c>
      <c r="AK5" s="174" t="s">
        <v>197</v>
      </c>
      <c r="AL5" s="174" t="s">
        <v>180</v>
      </c>
      <c r="AM5" s="174" t="s">
        <v>181</v>
      </c>
      <c r="AN5" s="174" t="s">
        <v>182</v>
      </c>
      <c r="AO5" s="174" t="s">
        <v>170</v>
      </c>
      <c r="AP5" s="174" t="s">
        <v>183</v>
      </c>
      <c r="AQ5" s="174" t="s">
        <v>166</v>
      </c>
      <c r="AR5" s="174" t="s">
        <v>171</v>
      </c>
      <c r="AS5" s="179" t="s">
        <v>5</v>
      </c>
    </row>
    <row r="6" spans="1:45" ht="4.5" customHeight="1">
      <c r="A6" s="19"/>
    </row>
    <row r="7" spans="1:45">
      <c r="A7" s="20" t="s">
        <v>55</v>
      </c>
    </row>
    <row r="8" spans="1:45">
      <c r="A8" s="21" t="s">
        <v>7</v>
      </c>
      <c r="B8" s="175">
        <f>[1]Kalkulator!I8</f>
        <v>6000</v>
      </c>
      <c r="C8" s="175">
        <f>[2]Kalkulator!I8</f>
        <v>6000</v>
      </c>
      <c r="D8" s="175">
        <f>[3]Kalkulator!I8</f>
        <v>12000</v>
      </c>
      <c r="E8" s="175">
        <f>[4]Kalkulator!I8</f>
        <v>6000</v>
      </c>
      <c r="F8" s="175">
        <f>[5]Kalkulator!I8</f>
        <v>24000</v>
      </c>
      <c r="G8" s="175">
        <f>[6]Kalkulator!I8</f>
        <v>6000</v>
      </c>
      <c r="H8" s="175">
        <f>[7]Kalkulator!I8</f>
        <v>9000</v>
      </c>
      <c r="I8" s="175">
        <f>[8]Kalkulator!I8</f>
        <v>15000</v>
      </c>
      <c r="J8" s="175">
        <f>[9]Kalkulator!I8</f>
        <v>9600</v>
      </c>
      <c r="K8" s="175">
        <f>[10]Kalkulator!L7</f>
        <v>3424.4035998853219</v>
      </c>
      <c r="L8" s="175">
        <f>[11]Kalkulator!I8</f>
        <v>13200.000000000002</v>
      </c>
      <c r="M8" s="175">
        <f>[12]Kalkulator!I8</f>
        <v>72000</v>
      </c>
      <c r="N8" s="175">
        <f>[13]Kalkulator!I8</f>
        <v>72000</v>
      </c>
      <c r="O8" s="175">
        <f>[14]Kalkulator!I8</f>
        <v>11400</v>
      </c>
      <c r="P8" s="175">
        <f>[15]Kalkulator!I8</f>
        <v>48000</v>
      </c>
      <c r="Q8" s="175">
        <f>[16]Kalkulator!I8</f>
        <v>10200</v>
      </c>
      <c r="R8" s="175">
        <f>[17]Kalkulator!I8</f>
        <v>19200</v>
      </c>
      <c r="S8" s="175">
        <f>[18]Kalkulator!I8</f>
        <v>21000</v>
      </c>
      <c r="T8" s="175">
        <f>[19]Kalkulator!I8</f>
        <v>10200</v>
      </c>
      <c r="U8" s="175">
        <f>[20]Kalkulator!I8</f>
        <v>8400</v>
      </c>
      <c r="V8" s="175">
        <f>[21]Kalkulator!I8</f>
        <v>13200.000000000002</v>
      </c>
      <c r="W8" s="175">
        <f>[22]Kalkulator!I8</f>
        <v>6000</v>
      </c>
      <c r="X8" s="175">
        <f>[23]Kalkulator!I8</f>
        <v>6600.0000000000009</v>
      </c>
      <c r="Y8" s="175">
        <f>[24]Kalkulator!I8</f>
        <v>0</v>
      </c>
      <c r="Z8" s="175">
        <f>[25]Kalkulator!I8</f>
        <v>7800</v>
      </c>
      <c r="AB8" s="175">
        <f>[26]Kalkulator!I8</f>
        <v>48000</v>
      </c>
      <c r="AC8" s="175">
        <f>[27]Kalkulator!I8</f>
        <v>24000</v>
      </c>
      <c r="AD8" s="175">
        <f>[28]Kalkulator!I8</f>
        <v>6000</v>
      </c>
      <c r="AE8" s="175">
        <f>[29]Kalkulator!I8</f>
        <v>6000</v>
      </c>
      <c r="AF8" s="175">
        <f>[30]Kalkulator!L8</f>
        <v>1825.9105163276752</v>
      </c>
      <c r="AG8" s="175">
        <f>[31]Kalkulator!I8</f>
        <v>0</v>
      </c>
      <c r="AH8" s="175">
        <f>[32]Kalkulator!I8</f>
        <v>14400</v>
      </c>
      <c r="AI8" s="175">
        <f>[33]Kalkulator!I8</f>
        <v>6000</v>
      </c>
      <c r="AJ8" s="175">
        <f>[34]Kalkulator!I8</f>
        <v>0</v>
      </c>
      <c r="AK8" s="175">
        <f>[35]Kalkulator!I8</f>
        <v>7615.4930488475693</v>
      </c>
      <c r="AL8" s="175">
        <f>[36]Kalkulator!I8</f>
        <v>34800</v>
      </c>
      <c r="AM8" s="175">
        <f>[37]Kalkulator!I8</f>
        <v>17400</v>
      </c>
      <c r="AN8" s="175">
        <f>[38]Kalkulator!I8</f>
        <v>16800</v>
      </c>
      <c r="AO8" s="175">
        <f>[39]Kalkulator!I8</f>
        <v>24000</v>
      </c>
      <c r="AP8" s="175">
        <f>[40]Kalkulator!I8</f>
        <v>96000</v>
      </c>
      <c r="AQ8" s="175">
        <f>[41]Kalkulator!I8</f>
        <v>24000</v>
      </c>
      <c r="AR8" s="175">
        <f>[42]Kalkulator!I8</f>
        <v>11400</v>
      </c>
      <c r="AS8" s="176">
        <f>SUM(B8:AR8)</f>
        <v>754465.80716506054</v>
      </c>
    </row>
    <row r="9" spans="1:45">
      <c r="A9" s="22" t="s">
        <v>51</v>
      </c>
      <c r="B9" s="175">
        <f>[1]Kalkulator!I9</f>
        <v>0</v>
      </c>
      <c r="C9" s="175">
        <f>[2]Kalkulator!I9</f>
        <v>0</v>
      </c>
      <c r="D9" s="175">
        <f>[3]Kalkulator!I9</f>
        <v>0</v>
      </c>
      <c r="E9" s="175">
        <f>[4]Kalkulator!I9</f>
        <v>0</v>
      </c>
      <c r="F9" s="175">
        <f>[5]Kalkulator!I9</f>
        <v>0</v>
      </c>
      <c r="G9" s="175">
        <f>[6]Kalkulator!I9</f>
        <v>0</v>
      </c>
      <c r="H9" s="175">
        <f>[7]Kalkulator!I9</f>
        <v>0</v>
      </c>
      <c r="I9" s="175">
        <f>[8]Kalkulator!I9</f>
        <v>0</v>
      </c>
      <c r="J9" s="175">
        <f>[9]Kalkulator!I9</f>
        <v>0</v>
      </c>
      <c r="K9" s="175">
        <f>[10]Kalkulator!L8</f>
        <v>0</v>
      </c>
      <c r="L9" s="175">
        <f>[11]Kalkulator!I9</f>
        <v>0</v>
      </c>
      <c r="M9" s="175">
        <f>[12]Kalkulator!I9</f>
        <v>0</v>
      </c>
      <c r="N9" s="175">
        <f>[13]Kalkulator!I9</f>
        <v>0</v>
      </c>
      <c r="O9" s="175">
        <f>[14]Kalkulator!I9</f>
        <v>0</v>
      </c>
      <c r="P9" s="175">
        <f>[15]Kalkulator!I9</f>
        <v>0</v>
      </c>
      <c r="Q9" s="175">
        <f>[16]Kalkulator!I9</f>
        <v>0</v>
      </c>
      <c r="R9" s="175">
        <f>[17]Kalkulator!I9</f>
        <v>0</v>
      </c>
      <c r="S9" s="175">
        <f>[18]Kalkulator!I9</f>
        <v>0</v>
      </c>
      <c r="T9" s="175">
        <f>[19]Kalkulator!I9</f>
        <v>0</v>
      </c>
      <c r="U9" s="175">
        <f>[20]Kalkulator!I9</f>
        <v>0</v>
      </c>
      <c r="V9" s="175">
        <f>[21]Kalkulator!I9</f>
        <v>0</v>
      </c>
      <c r="W9" s="175">
        <f>[22]Kalkulator!I9</f>
        <v>0</v>
      </c>
      <c r="X9" s="175">
        <f>[23]Kalkulator!I9</f>
        <v>0</v>
      </c>
      <c r="Y9" s="175">
        <f>[24]Kalkulator!I9</f>
        <v>0</v>
      </c>
      <c r="Z9" s="175">
        <f>[25]Kalkulator!I9</f>
        <v>0</v>
      </c>
      <c r="AB9" s="175">
        <f>[26]Kalkulator!I9</f>
        <v>0</v>
      </c>
      <c r="AC9" s="175">
        <f>[27]Kalkulator!I9</f>
        <v>0</v>
      </c>
      <c r="AD9" s="175">
        <f>[28]Kalkulator!I9</f>
        <v>0</v>
      </c>
      <c r="AE9" s="175">
        <f>[29]Kalkulator!I9</f>
        <v>0</v>
      </c>
      <c r="AF9" s="175">
        <f>[30]Kalkulator!L9</f>
        <v>0</v>
      </c>
      <c r="AG9" s="175">
        <f>[31]Kalkulator!I9</f>
        <v>0</v>
      </c>
      <c r="AH9" s="175">
        <f>[32]Kalkulator!I9</f>
        <v>0</v>
      </c>
      <c r="AI9" s="175">
        <f>[33]Kalkulator!I9</f>
        <v>0</v>
      </c>
      <c r="AJ9" s="175">
        <f>[34]Kalkulator!I9</f>
        <v>0</v>
      </c>
      <c r="AK9" s="175">
        <f>[35]Kalkulator!I9</f>
        <v>0</v>
      </c>
      <c r="AL9" s="175">
        <f>[36]Kalkulator!I9</f>
        <v>0</v>
      </c>
      <c r="AM9" s="175">
        <f>[37]Kalkulator!I9</f>
        <v>0</v>
      </c>
      <c r="AN9" s="175">
        <f>[38]Kalkulator!I9</f>
        <v>0</v>
      </c>
      <c r="AO9" s="175">
        <f>[39]Kalkulator!I9</f>
        <v>0</v>
      </c>
      <c r="AP9" s="175">
        <f>[40]Kalkulator!I9</f>
        <v>0</v>
      </c>
      <c r="AQ9" s="175">
        <f>[41]Kalkulator!I9</f>
        <v>0</v>
      </c>
      <c r="AR9" s="175">
        <f>[42]Kalkulator!I9</f>
        <v>0</v>
      </c>
      <c r="AS9" s="176">
        <f t="shared" ref="AS9:AS47" si="0">SUM(B9:AR9)</f>
        <v>0</v>
      </c>
    </row>
    <row r="10" spans="1:45">
      <c r="A10" s="23" t="s">
        <v>10</v>
      </c>
      <c r="B10" s="175">
        <f>[1]Kalkulator!I10</f>
        <v>138000</v>
      </c>
      <c r="C10" s="175">
        <f>[2]Kalkulator!I10</f>
        <v>138000</v>
      </c>
      <c r="D10" s="175">
        <f>[3]Kalkulator!I10</f>
        <v>0</v>
      </c>
      <c r="E10" s="175">
        <f>[4]Kalkulator!I10</f>
        <v>138000</v>
      </c>
      <c r="F10" s="175">
        <f>[5]Kalkulator!I10</f>
        <v>552000</v>
      </c>
      <c r="G10" s="175">
        <f>[6]Kalkulator!I10</f>
        <v>138000</v>
      </c>
      <c r="H10" s="175">
        <f>[7]Kalkulator!I10</f>
        <v>207000</v>
      </c>
      <c r="I10" s="175">
        <f>[8]Kalkulator!I10</f>
        <v>345000</v>
      </c>
      <c r="J10" s="175">
        <f>[9]Kalkulator!I10</f>
        <v>220800</v>
      </c>
      <c r="K10" s="175">
        <f>[10]Kalkulator!L9</f>
        <v>0</v>
      </c>
      <c r="L10" s="175">
        <f>[11]Kalkulator!I10</f>
        <v>138000</v>
      </c>
      <c r="M10" s="175">
        <f>[12]Kalkulator!I10</f>
        <v>1104000</v>
      </c>
      <c r="N10" s="175">
        <f>[13]Kalkulator!I10</f>
        <v>1573199.9999999998</v>
      </c>
      <c r="O10" s="175">
        <f>[14]Kalkulator!I10</f>
        <v>138000</v>
      </c>
      <c r="P10" s="175">
        <f>[15]Kalkulator!I10</f>
        <v>552000</v>
      </c>
      <c r="Q10" s="175">
        <f>[16]Kalkulator!I10</f>
        <v>469200</v>
      </c>
      <c r="R10" s="175">
        <f>[17]Kalkulator!I10</f>
        <v>138000</v>
      </c>
      <c r="S10" s="175">
        <f>[18]Kalkulator!I10</f>
        <v>0</v>
      </c>
      <c r="T10" s="175">
        <f>[19]Kalkulator!I10</f>
        <v>138000</v>
      </c>
      <c r="U10" s="175">
        <f>[20]Kalkulator!I10</f>
        <v>138000</v>
      </c>
      <c r="V10" s="175">
        <f>[21]Kalkulator!I10</f>
        <v>303600</v>
      </c>
      <c r="W10" s="175">
        <f>[22]Kalkulator!I10</f>
        <v>138000</v>
      </c>
      <c r="X10" s="175">
        <f>[23]Kalkulator!I10</f>
        <v>151800</v>
      </c>
      <c r="Y10" s="175">
        <f>[24]Kalkulator!I10</f>
        <v>0</v>
      </c>
      <c r="Z10" s="175">
        <f>[25]Kalkulator!I10</f>
        <v>179400</v>
      </c>
      <c r="AB10" s="175">
        <f>[26]Kalkulator!I10</f>
        <v>1656000</v>
      </c>
      <c r="AC10" s="175">
        <f>[27]Kalkulator!I10</f>
        <v>552000</v>
      </c>
      <c r="AD10" s="175">
        <f>[28]Kalkulator!I10</f>
        <v>0</v>
      </c>
      <c r="AE10" s="175">
        <f>[29]Kalkulator!I10</f>
        <v>276000</v>
      </c>
      <c r="AF10" s="175">
        <f>[30]Kalkulator!L10</f>
        <v>41995.941875536526</v>
      </c>
      <c r="AG10" s="175">
        <f>[31]Kalkulator!I10</f>
        <v>0</v>
      </c>
      <c r="AH10" s="175">
        <f>[32]Kalkulator!I10</f>
        <v>0</v>
      </c>
      <c r="AI10" s="175">
        <f>[33]Kalkulator!I10</f>
        <v>138000</v>
      </c>
      <c r="AJ10" s="175">
        <f>[34]Kalkulator!I10</f>
        <v>0</v>
      </c>
      <c r="AK10" s="175">
        <f>[35]Kalkulator!I10</f>
        <v>175156.34012349407</v>
      </c>
      <c r="AL10" s="175">
        <f>[36]Kalkulator!I10</f>
        <v>138000</v>
      </c>
      <c r="AM10" s="175">
        <f>[37]Kalkulator!I10</f>
        <v>400200</v>
      </c>
      <c r="AN10" s="175">
        <f>[38]Kalkulator!I10</f>
        <v>386400</v>
      </c>
      <c r="AO10" s="175">
        <f>[39]Kalkulator!I10</f>
        <v>0</v>
      </c>
      <c r="AP10" s="175">
        <f>[40]Kalkulator!I10</f>
        <v>0</v>
      </c>
      <c r="AQ10" s="175">
        <f>[41]Kalkulator!I10</f>
        <v>552000</v>
      </c>
      <c r="AR10" s="175">
        <f>[42]Kalkulator!I10</f>
        <v>0</v>
      </c>
      <c r="AS10" s="176">
        <f t="shared" si="0"/>
        <v>11353752.281999029</v>
      </c>
    </row>
    <row r="11" spans="1:45">
      <c r="A11" s="21" t="s">
        <v>6</v>
      </c>
      <c r="B11" s="175">
        <f>[1]Kalkulator!I11</f>
        <v>36000</v>
      </c>
      <c r="C11" s="175">
        <f>[2]Kalkulator!I11</f>
        <v>36000</v>
      </c>
      <c r="D11" s="175">
        <f>[3]Kalkulator!I11</f>
        <v>0</v>
      </c>
      <c r="E11" s="175">
        <f>[4]Kalkulator!I11</f>
        <v>36000</v>
      </c>
      <c r="F11" s="175">
        <f>[5]Kalkulator!I11</f>
        <v>144000</v>
      </c>
      <c r="G11" s="175">
        <f>[6]Kalkulator!I11</f>
        <v>36000</v>
      </c>
      <c r="H11" s="175">
        <f>[7]Kalkulator!I11</f>
        <v>54000</v>
      </c>
      <c r="I11" s="175">
        <f>[8]Kalkulator!I11</f>
        <v>36000</v>
      </c>
      <c r="J11" s="175">
        <f>[9]Kalkulator!I11</f>
        <v>36000</v>
      </c>
      <c r="K11" s="175">
        <f>[10]Kalkulator!L10</f>
        <v>0</v>
      </c>
      <c r="L11" s="175">
        <f>[11]Kalkulator!I11</f>
        <v>79200</v>
      </c>
      <c r="M11" s="175">
        <f>[12]Kalkulator!I11</f>
        <v>288000</v>
      </c>
      <c r="N11" s="175">
        <f>[13]Kalkulator!I11</f>
        <v>410399.99999999994</v>
      </c>
      <c r="O11" s="175">
        <f>[14]Kalkulator!I11</f>
        <v>36000</v>
      </c>
      <c r="P11" s="175">
        <f>[15]Kalkulator!I11</f>
        <v>144000</v>
      </c>
      <c r="Q11" s="175">
        <f>[16]Kalkulator!I11</f>
        <v>61200</v>
      </c>
      <c r="R11" s="175">
        <f>[17]Kalkulator!I11</f>
        <v>115200</v>
      </c>
      <c r="S11" s="175">
        <f>[18]Kalkulator!I11</f>
        <v>0</v>
      </c>
      <c r="T11" s="175">
        <f>[19]Kalkulator!I11</f>
        <v>36000</v>
      </c>
      <c r="U11" s="175">
        <f>[20]Kalkulator!I11</f>
        <v>36000</v>
      </c>
      <c r="V11" s="175">
        <f>[21]Kalkulator!I11</f>
        <v>79200</v>
      </c>
      <c r="W11" s="175">
        <f>[22]Kalkulator!I11</f>
        <v>36000</v>
      </c>
      <c r="X11" s="175">
        <f>[23]Kalkulator!I11</f>
        <v>39600</v>
      </c>
      <c r="Y11" s="175">
        <f>[24]Kalkulator!I11</f>
        <v>0</v>
      </c>
      <c r="Z11" s="175">
        <f>[25]Kalkulator!I11</f>
        <v>46800</v>
      </c>
      <c r="AB11" s="175">
        <f>[26]Kalkulator!I11</f>
        <v>432000</v>
      </c>
      <c r="AC11" s="175">
        <f>[27]Kalkulator!I11</f>
        <v>144000</v>
      </c>
      <c r="AD11" s="175">
        <f>[28]Kalkulator!I11</f>
        <v>0</v>
      </c>
      <c r="AE11" s="175">
        <f>[29]Kalkulator!I11</f>
        <v>36000</v>
      </c>
      <c r="AF11" s="175">
        <f>[30]Kalkulator!L11</f>
        <v>10955.463097966051</v>
      </c>
      <c r="AG11" s="175">
        <f>[31]Kalkulator!I11</f>
        <v>0</v>
      </c>
      <c r="AH11" s="175">
        <f>[32]Kalkulator!I11</f>
        <v>0</v>
      </c>
      <c r="AI11" s="175">
        <f>[33]Kalkulator!I11</f>
        <v>36000</v>
      </c>
      <c r="AJ11" s="175">
        <f>[34]Kalkulator!I11</f>
        <v>0</v>
      </c>
      <c r="AK11" s="175">
        <f>[35]Kalkulator!I11</f>
        <v>45692.958293085416</v>
      </c>
      <c r="AL11" s="175">
        <f>[36]Kalkulator!I11</f>
        <v>104400</v>
      </c>
      <c r="AM11" s="175">
        <f>[37]Kalkulator!I11</f>
        <v>104400</v>
      </c>
      <c r="AN11" s="175">
        <f>[38]Kalkulator!I11</f>
        <v>100800</v>
      </c>
      <c r="AO11" s="175">
        <f>[39]Kalkulator!I11</f>
        <v>0</v>
      </c>
      <c r="AP11" s="175">
        <f>[40]Kalkulator!I11</f>
        <v>0</v>
      </c>
      <c r="AQ11" s="175">
        <f>[41]Kalkulator!I11</f>
        <v>144000</v>
      </c>
      <c r="AR11" s="175">
        <f>[42]Kalkulator!I11</f>
        <v>0</v>
      </c>
      <c r="AS11" s="176">
        <f t="shared" si="0"/>
        <v>2979848.4213910517</v>
      </c>
    </row>
    <row r="12" spans="1:45" s="25" customFormat="1" ht="4.5" customHeight="1">
      <c r="A12" s="24"/>
      <c r="B12" s="175">
        <f>[1]Kalkulator!I12</f>
        <v>0</v>
      </c>
      <c r="C12" s="175">
        <f>[2]Kalkulator!I12</f>
        <v>0</v>
      </c>
      <c r="D12" s="175">
        <f>[3]Kalkulator!I12</f>
        <v>0</v>
      </c>
      <c r="E12" s="175">
        <f>[4]Kalkulator!I12</f>
        <v>0</v>
      </c>
      <c r="F12" s="175">
        <f>[5]Kalkulator!I12</f>
        <v>0</v>
      </c>
      <c r="G12" s="175">
        <f>[6]Kalkulator!I12</f>
        <v>0</v>
      </c>
      <c r="H12" s="175">
        <f>[7]Kalkulator!I12</f>
        <v>0</v>
      </c>
      <c r="I12" s="175">
        <f>[8]Kalkulator!I12</f>
        <v>0</v>
      </c>
      <c r="J12" s="175">
        <f>[9]Kalkulator!I12</f>
        <v>0</v>
      </c>
      <c r="K12" s="175">
        <f>[10]Kalkulator!L11</f>
        <v>0</v>
      </c>
      <c r="L12" s="175">
        <f>[11]Kalkulator!I12</f>
        <v>0</v>
      </c>
      <c r="M12" s="175">
        <f>[12]Kalkulator!I12</f>
        <v>0</v>
      </c>
      <c r="N12" s="175">
        <f>[13]Kalkulator!I12</f>
        <v>0</v>
      </c>
      <c r="O12" s="175">
        <f>[14]Kalkulator!I12</f>
        <v>0</v>
      </c>
      <c r="P12" s="175">
        <f>[15]Kalkulator!I12</f>
        <v>0</v>
      </c>
      <c r="Q12" s="175">
        <f>[16]Kalkulator!I12</f>
        <v>0</v>
      </c>
      <c r="R12" s="175">
        <f>[17]Kalkulator!I12</f>
        <v>0</v>
      </c>
      <c r="S12" s="175">
        <f>[18]Kalkulator!I12</f>
        <v>0</v>
      </c>
      <c r="T12" s="175">
        <f>[19]Kalkulator!I12</f>
        <v>0</v>
      </c>
      <c r="U12" s="175">
        <f>[20]Kalkulator!I12</f>
        <v>0</v>
      </c>
      <c r="V12" s="175">
        <f>[21]Kalkulator!I12</f>
        <v>0</v>
      </c>
      <c r="W12" s="175">
        <f>[22]Kalkulator!I12</f>
        <v>0</v>
      </c>
      <c r="X12" s="175">
        <f>[23]Kalkulator!I12</f>
        <v>0</v>
      </c>
      <c r="Y12" s="175">
        <f>[24]Kalkulator!I12</f>
        <v>0</v>
      </c>
      <c r="Z12" s="175">
        <f>[25]Kalkulator!I12</f>
        <v>0</v>
      </c>
      <c r="AB12" s="175">
        <f>[26]Kalkulator!I12</f>
        <v>0</v>
      </c>
      <c r="AC12" s="175">
        <f>[27]Kalkulator!I12</f>
        <v>0</v>
      </c>
      <c r="AD12" s="175">
        <f>[28]Kalkulator!I12</f>
        <v>0</v>
      </c>
      <c r="AE12" s="175">
        <f>[29]Kalkulator!I12</f>
        <v>0</v>
      </c>
      <c r="AF12" s="175">
        <f>[30]Kalkulator!L12</f>
        <v>0</v>
      </c>
      <c r="AG12" s="175">
        <f>[31]Kalkulator!I12</f>
        <v>0</v>
      </c>
      <c r="AH12" s="175">
        <f>[32]Kalkulator!I12</f>
        <v>0</v>
      </c>
      <c r="AI12" s="175">
        <f>[33]Kalkulator!I12</f>
        <v>0</v>
      </c>
      <c r="AJ12" s="175">
        <f>[34]Kalkulator!I12</f>
        <v>0</v>
      </c>
      <c r="AK12" s="175">
        <f>[35]Kalkulator!I12</f>
        <v>0</v>
      </c>
      <c r="AL12" s="175">
        <f>[36]Kalkulator!I12</f>
        <v>0</v>
      </c>
      <c r="AM12" s="175">
        <f>[37]Kalkulator!I12</f>
        <v>0</v>
      </c>
      <c r="AN12" s="175">
        <f>[38]Kalkulator!I12</f>
        <v>0</v>
      </c>
      <c r="AO12" s="175">
        <f>[39]Kalkulator!I12</f>
        <v>0</v>
      </c>
      <c r="AP12" s="175">
        <f>[40]Kalkulator!I12</f>
        <v>0</v>
      </c>
      <c r="AQ12" s="175">
        <f>[41]Kalkulator!I12</f>
        <v>0</v>
      </c>
      <c r="AR12" s="175">
        <f>[42]Kalkulator!I12</f>
        <v>0</v>
      </c>
      <c r="AS12" s="176">
        <f t="shared" si="0"/>
        <v>0</v>
      </c>
    </row>
    <row r="13" spans="1:45">
      <c r="A13" s="20" t="s">
        <v>62</v>
      </c>
      <c r="B13" s="175">
        <f>[1]Kalkulator!I13</f>
        <v>0</v>
      </c>
      <c r="C13" s="175">
        <f>[2]Kalkulator!I13</f>
        <v>0</v>
      </c>
      <c r="D13" s="175">
        <f>[3]Kalkulator!I13</f>
        <v>0</v>
      </c>
      <c r="E13" s="175">
        <f>[4]Kalkulator!I13</f>
        <v>0</v>
      </c>
      <c r="F13" s="175">
        <f>[5]Kalkulator!I13</f>
        <v>0</v>
      </c>
      <c r="G13" s="175">
        <f>[6]Kalkulator!I13</f>
        <v>0</v>
      </c>
      <c r="H13" s="175">
        <f>[7]Kalkulator!I13</f>
        <v>0</v>
      </c>
      <c r="I13" s="175">
        <f>[8]Kalkulator!I13</f>
        <v>0</v>
      </c>
      <c r="J13" s="175">
        <f>[9]Kalkulator!I13</f>
        <v>0</v>
      </c>
      <c r="K13" s="175">
        <f>[10]Kalkulator!L12</f>
        <v>0</v>
      </c>
      <c r="L13" s="175">
        <f>[11]Kalkulator!I13</f>
        <v>0</v>
      </c>
      <c r="M13" s="175">
        <f>[12]Kalkulator!I13</f>
        <v>0</v>
      </c>
      <c r="N13" s="175">
        <f>[13]Kalkulator!I13</f>
        <v>0</v>
      </c>
      <c r="O13" s="175">
        <f>[14]Kalkulator!I13</f>
        <v>0</v>
      </c>
      <c r="P13" s="175">
        <f>[15]Kalkulator!I13</f>
        <v>0</v>
      </c>
      <c r="Q13" s="175">
        <f>[16]Kalkulator!I13</f>
        <v>0</v>
      </c>
      <c r="R13" s="175">
        <f>[17]Kalkulator!I13</f>
        <v>0</v>
      </c>
      <c r="S13" s="175">
        <f>[18]Kalkulator!I13</f>
        <v>0</v>
      </c>
      <c r="T13" s="175">
        <f>[19]Kalkulator!I13</f>
        <v>0</v>
      </c>
      <c r="U13" s="175">
        <f>[20]Kalkulator!I13</f>
        <v>0</v>
      </c>
      <c r="V13" s="175">
        <f>[21]Kalkulator!I13</f>
        <v>0</v>
      </c>
      <c r="W13" s="175">
        <f>[22]Kalkulator!I13</f>
        <v>0</v>
      </c>
      <c r="X13" s="175">
        <f>[23]Kalkulator!I13</f>
        <v>0</v>
      </c>
      <c r="Y13" s="175">
        <f>[24]Kalkulator!I13</f>
        <v>0</v>
      </c>
      <c r="Z13" s="175">
        <f>[25]Kalkulator!I13</f>
        <v>0</v>
      </c>
      <c r="AB13" s="175">
        <f>[26]Kalkulator!I13</f>
        <v>0</v>
      </c>
      <c r="AC13" s="175">
        <f>[27]Kalkulator!I13</f>
        <v>0</v>
      </c>
      <c r="AD13" s="175">
        <f>[28]Kalkulator!I13</f>
        <v>0</v>
      </c>
      <c r="AE13" s="175">
        <f>[29]Kalkulator!I13</f>
        <v>0</v>
      </c>
      <c r="AF13" s="175">
        <f>[30]Kalkulator!L13</f>
        <v>0</v>
      </c>
      <c r="AG13" s="175">
        <f>[31]Kalkulator!I13</f>
        <v>0</v>
      </c>
      <c r="AH13" s="175">
        <f>[32]Kalkulator!I13</f>
        <v>0</v>
      </c>
      <c r="AI13" s="175">
        <f>[33]Kalkulator!I13</f>
        <v>0</v>
      </c>
      <c r="AJ13" s="175">
        <f>[34]Kalkulator!I13</f>
        <v>0</v>
      </c>
      <c r="AK13" s="175">
        <f>[35]Kalkulator!I13</f>
        <v>0</v>
      </c>
      <c r="AL13" s="175">
        <f>[36]Kalkulator!I13</f>
        <v>0</v>
      </c>
      <c r="AM13" s="175">
        <f>[37]Kalkulator!I13</f>
        <v>0</v>
      </c>
      <c r="AN13" s="175">
        <f>[38]Kalkulator!I13</f>
        <v>0</v>
      </c>
      <c r="AO13" s="175">
        <f>[39]Kalkulator!I13</f>
        <v>0</v>
      </c>
      <c r="AP13" s="175">
        <f>[40]Kalkulator!I13</f>
        <v>0</v>
      </c>
      <c r="AQ13" s="175">
        <f>[41]Kalkulator!I13</f>
        <v>0</v>
      </c>
      <c r="AR13" s="175">
        <f>[42]Kalkulator!I13</f>
        <v>0</v>
      </c>
      <c r="AS13" s="176">
        <f t="shared" si="0"/>
        <v>0</v>
      </c>
    </row>
    <row r="14" spans="1:45">
      <c r="A14" s="23" t="s">
        <v>70</v>
      </c>
      <c r="B14" s="175">
        <f>[1]Kalkulator!I14</f>
        <v>29650</v>
      </c>
      <c r="C14" s="175">
        <f>[2]Kalkulator!I14</f>
        <v>29650</v>
      </c>
      <c r="D14" s="175">
        <f>[3]Kalkulator!I14</f>
        <v>59300</v>
      </c>
      <c r="E14" s="175">
        <f>[4]Kalkulator!I14</f>
        <v>29650</v>
      </c>
      <c r="F14" s="175">
        <f>[5]Kalkulator!I14</f>
        <v>118600</v>
      </c>
      <c r="G14" s="175">
        <f>[6]Kalkulator!I14</f>
        <v>29650</v>
      </c>
      <c r="H14" s="175">
        <f>[7]Kalkulator!I14</f>
        <v>44475</v>
      </c>
      <c r="I14" s="175">
        <f>[8]Kalkulator!I14</f>
        <v>74125</v>
      </c>
      <c r="J14" s="175">
        <f>[9]Kalkulator!I14</f>
        <v>29650</v>
      </c>
      <c r="K14" s="175">
        <f>[10]Kalkulator!L13</f>
        <v>4230.5652806916578</v>
      </c>
      <c r="L14" s="175">
        <f>[11]Kalkulator!I14</f>
        <v>29650</v>
      </c>
      <c r="M14" s="175">
        <f>[12]Kalkulator!I14</f>
        <v>237200</v>
      </c>
      <c r="N14" s="175">
        <f>[13]Kalkulator!I14</f>
        <v>355800</v>
      </c>
      <c r="O14" s="175">
        <f>[14]Kalkulator!I14</f>
        <v>29650</v>
      </c>
      <c r="P14" s="175">
        <f>[15]Kalkulator!I14</f>
        <v>237200</v>
      </c>
      <c r="Q14" s="175">
        <f>[16]Kalkulator!I14</f>
        <v>50405</v>
      </c>
      <c r="R14" s="175">
        <f>[17]Kalkulator!I14</f>
        <v>94880</v>
      </c>
      <c r="S14" s="175">
        <f>[18]Kalkulator!I14</f>
        <v>103775</v>
      </c>
      <c r="T14" s="175">
        <f>[19]Kalkulator!I14</f>
        <v>29650</v>
      </c>
      <c r="U14" s="175">
        <f>[20]Kalkulator!I14</f>
        <v>41510</v>
      </c>
      <c r="V14" s="175">
        <f>[21]Kalkulator!I14</f>
        <v>65230</v>
      </c>
      <c r="W14" s="175">
        <f>[22]Kalkulator!I14</f>
        <v>29650</v>
      </c>
      <c r="X14" s="175">
        <f>[23]Kalkulator!I14</f>
        <v>32615</v>
      </c>
      <c r="Y14" s="175">
        <f>[24]Kalkulator!I14</f>
        <v>77090</v>
      </c>
      <c r="Z14" s="175">
        <f>[25]Kalkulator!I14</f>
        <v>38545</v>
      </c>
      <c r="AB14" s="175">
        <f>[26]Kalkulator!I14</f>
        <v>474400</v>
      </c>
      <c r="AC14" s="175">
        <f>[27]Kalkulator!I14</f>
        <v>118600</v>
      </c>
      <c r="AD14" s="175">
        <f>[28]Kalkulator!I14</f>
        <v>14825</v>
      </c>
      <c r="AE14" s="175">
        <f>[29]Kalkulator!I14</f>
        <v>59300</v>
      </c>
      <c r="AF14" s="175">
        <f>[30]Kalkulator!L14</f>
        <v>9023.041134852594</v>
      </c>
      <c r="AG14" s="175">
        <f>[31]Kalkulator!I14</f>
        <v>332080</v>
      </c>
      <c r="AH14" s="175">
        <f>[32]Kalkulator!I14</f>
        <v>35580</v>
      </c>
      <c r="AI14" s="175">
        <f>[33]Kalkulator!I14</f>
        <v>29650</v>
      </c>
      <c r="AJ14" s="175">
        <f>[34]Kalkulator!I14</f>
        <v>474400</v>
      </c>
      <c r="AK14" s="175">
        <f>[35]Kalkulator!I14</f>
        <v>37633.228149721734</v>
      </c>
      <c r="AL14" s="175">
        <f>[36]Kalkulator!I14</f>
        <v>29650</v>
      </c>
      <c r="AM14" s="175">
        <f>[37]Kalkulator!I14</f>
        <v>85985</v>
      </c>
      <c r="AN14" s="175">
        <f>[38]Kalkulator!I14</f>
        <v>166040</v>
      </c>
      <c r="AO14" s="175">
        <f>[39]Kalkulator!I14</f>
        <v>29650</v>
      </c>
      <c r="AP14" s="175">
        <f>[40]Kalkulator!I14</f>
        <v>474400</v>
      </c>
      <c r="AQ14" s="175">
        <f>[41]Kalkulator!I14</f>
        <v>118600</v>
      </c>
      <c r="AR14" s="175">
        <f>[42]Kalkulator!I14</f>
        <v>56335</v>
      </c>
      <c r="AS14" s="176">
        <f t="shared" si="0"/>
        <v>4447981.834565266</v>
      </c>
    </row>
    <row r="15" spans="1:45">
      <c r="A15" s="26" t="s">
        <v>106</v>
      </c>
      <c r="B15" s="175">
        <f>[1]Kalkulator!I15</f>
        <v>0</v>
      </c>
      <c r="C15" s="175">
        <f>[2]Kalkulator!I15</f>
        <v>0</v>
      </c>
      <c r="D15" s="175">
        <f>[3]Kalkulator!I15</f>
        <v>0</v>
      </c>
      <c r="E15" s="175">
        <f>[4]Kalkulator!I15</f>
        <v>0</v>
      </c>
      <c r="F15" s="175">
        <f>[5]Kalkulator!I15</f>
        <v>0</v>
      </c>
      <c r="G15" s="175">
        <f>[6]Kalkulator!I15</f>
        <v>-2000</v>
      </c>
      <c r="H15" s="175">
        <f>[7]Kalkulator!I15</f>
        <v>0</v>
      </c>
      <c r="I15" s="175">
        <f>[8]Kalkulator!I15</f>
        <v>0</v>
      </c>
      <c r="J15" s="175">
        <f>[9]Kalkulator!I15</f>
        <v>0</v>
      </c>
      <c r="K15" s="175">
        <f>[10]Kalkulator!L14</f>
        <v>0</v>
      </c>
      <c r="L15" s="175">
        <f>[11]Kalkulator!I15</f>
        <v>-7927</v>
      </c>
      <c r="M15" s="175">
        <f>[12]Kalkulator!I15</f>
        <v>0</v>
      </c>
      <c r="N15" s="175">
        <f>[13]Kalkulator!I15</f>
        <v>0</v>
      </c>
      <c r="O15" s="175">
        <f>[14]Kalkulator!I15</f>
        <v>0</v>
      </c>
      <c r="P15" s="175">
        <f>[15]Kalkulator!I15</f>
        <v>0</v>
      </c>
      <c r="Q15" s="175">
        <f>[16]Kalkulator!I15</f>
        <v>0</v>
      </c>
      <c r="R15" s="175">
        <f>[17]Kalkulator!I15</f>
        <v>0</v>
      </c>
      <c r="S15" s="175">
        <f>[18]Kalkulator!I15</f>
        <v>0</v>
      </c>
      <c r="T15" s="175">
        <f>[19]Kalkulator!I15</f>
        <v>0</v>
      </c>
      <c r="U15" s="175">
        <f>[20]Kalkulator!I15</f>
        <v>0</v>
      </c>
      <c r="V15" s="175">
        <f>[21]Kalkulator!I15</f>
        <v>0</v>
      </c>
      <c r="W15" s="175">
        <f>[22]Kalkulator!I15</f>
        <v>0</v>
      </c>
      <c r="X15" s="175">
        <f>[23]Kalkulator!I15</f>
        <v>0</v>
      </c>
      <c r="Y15" s="175">
        <f>[24]Kalkulator!I15</f>
        <v>0</v>
      </c>
      <c r="Z15" s="175">
        <f>[25]Kalkulator!I15</f>
        <v>0</v>
      </c>
      <c r="AB15" s="175">
        <f>[26]Kalkulator!I15</f>
        <v>0</v>
      </c>
      <c r="AC15" s="175">
        <f>[27]Kalkulator!I15</f>
        <v>0</v>
      </c>
      <c r="AD15" s="175">
        <f>[28]Kalkulator!I15</f>
        <v>0</v>
      </c>
      <c r="AE15" s="175">
        <f>[29]Kalkulator!I15</f>
        <v>0</v>
      </c>
      <c r="AF15" s="175">
        <f>[30]Kalkulator!L15</f>
        <v>0</v>
      </c>
      <c r="AG15" s="175">
        <f>-[31]Kalkulator!I15</f>
        <v>-106512</v>
      </c>
      <c r="AH15" s="175">
        <f>[32]Kalkulator!I15</f>
        <v>0</v>
      </c>
      <c r="AI15" s="175">
        <f>[33]Kalkulator!I15</f>
        <v>0</v>
      </c>
      <c r="AJ15" s="175">
        <f>-[34]Kalkulator!I15</f>
        <v>-152160</v>
      </c>
      <c r="AK15" s="175">
        <f>[35]Kalkulator!I15</f>
        <v>0</v>
      </c>
      <c r="AL15" s="175">
        <f>[36]Kalkulator!I15</f>
        <v>0</v>
      </c>
      <c r="AM15" s="175">
        <f>[37]Kalkulator!I15</f>
        <v>0</v>
      </c>
      <c r="AN15" s="175">
        <f>[38]Kalkulator!I15</f>
        <v>0</v>
      </c>
      <c r="AO15" s="175">
        <f>[39]Kalkulator!I15</f>
        <v>0</v>
      </c>
      <c r="AP15" s="175">
        <f>-[40]Kalkulator!I15</f>
        <v>-152160</v>
      </c>
      <c r="AQ15" s="175">
        <f>[41]Kalkulator!I15</f>
        <v>0</v>
      </c>
      <c r="AR15" s="175">
        <f>[42]Kalkulator!I15</f>
        <v>0</v>
      </c>
      <c r="AS15" s="176">
        <f t="shared" si="0"/>
        <v>-420759</v>
      </c>
    </row>
    <row r="16" spans="1:45" ht="4.5" customHeight="1">
      <c r="A16" s="27"/>
      <c r="B16" s="175">
        <f>[1]Kalkulator!I16</f>
        <v>0</v>
      </c>
      <c r="C16" s="175">
        <f>[2]Kalkulator!I16</f>
        <v>0</v>
      </c>
      <c r="D16" s="175">
        <f>[3]Kalkulator!I16</f>
        <v>0</v>
      </c>
      <c r="E16" s="175">
        <f>[4]Kalkulator!I16</f>
        <v>0</v>
      </c>
      <c r="F16" s="175">
        <f>[5]Kalkulator!I16</f>
        <v>0</v>
      </c>
      <c r="G16" s="175">
        <f>[6]Kalkulator!I16</f>
        <v>0</v>
      </c>
      <c r="H16" s="175">
        <f>[7]Kalkulator!I16</f>
        <v>0</v>
      </c>
      <c r="I16" s="175">
        <f>[8]Kalkulator!I16</f>
        <v>0</v>
      </c>
      <c r="J16" s="175">
        <f>[9]Kalkulator!I16</f>
        <v>0</v>
      </c>
      <c r="K16" s="175">
        <f>[10]Kalkulator!L15</f>
        <v>0</v>
      </c>
      <c r="L16" s="175">
        <f>[11]Kalkulator!I16</f>
        <v>0</v>
      </c>
      <c r="M16" s="175">
        <f>[12]Kalkulator!I16</f>
        <v>0</v>
      </c>
      <c r="N16" s="175">
        <f>[13]Kalkulator!I16</f>
        <v>0</v>
      </c>
      <c r="O16" s="175">
        <f>[14]Kalkulator!I16</f>
        <v>0</v>
      </c>
      <c r="P16" s="175">
        <f>[15]Kalkulator!I16</f>
        <v>0</v>
      </c>
      <c r="Q16" s="175">
        <f>[16]Kalkulator!I16</f>
        <v>0</v>
      </c>
      <c r="R16" s="175">
        <f>[17]Kalkulator!I16</f>
        <v>0</v>
      </c>
      <c r="S16" s="175">
        <f>[18]Kalkulator!I16</f>
        <v>0</v>
      </c>
      <c r="T16" s="175">
        <f>[19]Kalkulator!I16</f>
        <v>0</v>
      </c>
      <c r="U16" s="175">
        <f>[20]Kalkulator!I16</f>
        <v>0</v>
      </c>
      <c r="V16" s="175">
        <f>[21]Kalkulator!I16</f>
        <v>0</v>
      </c>
      <c r="W16" s="175">
        <f>[22]Kalkulator!I16</f>
        <v>0</v>
      </c>
      <c r="X16" s="175">
        <f>[23]Kalkulator!I16</f>
        <v>0</v>
      </c>
      <c r="Y16" s="175">
        <f>[24]Kalkulator!I16</f>
        <v>0</v>
      </c>
      <c r="Z16" s="175">
        <f>[25]Kalkulator!I16</f>
        <v>0</v>
      </c>
      <c r="AB16" s="175">
        <f>[26]Kalkulator!I16</f>
        <v>0</v>
      </c>
      <c r="AC16" s="175">
        <f>[27]Kalkulator!I16</f>
        <v>0</v>
      </c>
      <c r="AD16" s="175">
        <f>[28]Kalkulator!I16</f>
        <v>0</v>
      </c>
      <c r="AE16" s="175">
        <f>[29]Kalkulator!I16</f>
        <v>0</v>
      </c>
      <c r="AF16" s="175">
        <f>[30]Kalkulator!L16</f>
        <v>0</v>
      </c>
      <c r="AG16" s="175">
        <f>[31]Kalkulator!I16</f>
        <v>0</v>
      </c>
      <c r="AH16" s="175">
        <f>[32]Kalkulator!I16</f>
        <v>0</v>
      </c>
      <c r="AI16" s="175">
        <f>[33]Kalkulator!I16</f>
        <v>0</v>
      </c>
      <c r="AJ16" s="175">
        <f>[34]Kalkulator!I16</f>
        <v>0</v>
      </c>
      <c r="AK16" s="175">
        <f>[35]Kalkulator!I16</f>
        <v>0</v>
      </c>
      <c r="AL16" s="175">
        <f>[36]Kalkulator!I16</f>
        <v>0</v>
      </c>
      <c r="AM16" s="175">
        <f>[37]Kalkulator!I16</f>
        <v>0</v>
      </c>
      <c r="AN16" s="175">
        <f>[38]Kalkulator!I16</f>
        <v>0</v>
      </c>
      <c r="AO16" s="175">
        <f>[39]Kalkulator!I16</f>
        <v>0</v>
      </c>
      <c r="AP16" s="175">
        <f>[40]Kalkulator!I16</f>
        <v>0</v>
      </c>
      <c r="AQ16" s="175">
        <f>[41]Kalkulator!I16</f>
        <v>0</v>
      </c>
      <c r="AR16" s="175">
        <f>[42]Kalkulator!I16</f>
        <v>0</v>
      </c>
      <c r="AS16" s="176">
        <f t="shared" si="0"/>
        <v>0</v>
      </c>
    </row>
    <row r="17" spans="1:45">
      <c r="A17" s="20" t="s">
        <v>52</v>
      </c>
      <c r="B17" s="175">
        <f>[1]Kalkulator!I17</f>
        <v>0</v>
      </c>
      <c r="C17" s="175">
        <f>[2]Kalkulator!I17</f>
        <v>0</v>
      </c>
      <c r="D17" s="175">
        <f>[3]Kalkulator!I17</f>
        <v>0</v>
      </c>
      <c r="E17" s="175">
        <f>[4]Kalkulator!I17</f>
        <v>0</v>
      </c>
      <c r="F17" s="175">
        <f>[5]Kalkulator!I17</f>
        <v>0</v>
      </c>
      <c r="G17" s="175">
        <f>[6]Kalkulator!I17</f>
        <v>0</v>
      </c>
      <c r="H17" s="175">
        <f>[7]Kalkulator!I17</f>
        <v>0</v>
      </c>
      <c r="I17" s="175">
        <f>[8]Kalkulator!I17</f>
        <v>0</v>
      </c>
      <c r="J17" s="175">
        <f>[9]Kalkulator!I17</f>
        <v>0</v>
      </c>
      <c r="K17" s="175">
        <f>[10]Kalkulator!L16</f>
        <v>0</v>
      </c>
      <c r="L17" s="175">
        <f>[11]Kalkulator!I17</f>
        <v>0</v>
      </c>
      <c r="M17" s="175">
        <f>[12]Kalkulator!I17</f>
        <v>0</v>
      </c>
      <c r="N17" s="175">
        <f>[13]Kalkulator!I17</f>
        <v>0</v>
      </c>
      <c r="O17" s="175">
        <f>[14]Kalkulator!I17</f>
        <v>0</v>
      </c>
      <c r="P17" s="175">
        <f>[15]Kalkulator!I17</f>
        <v>0</v>
      </c>
      <c r="Q17" s="175">
        <f>[16]Kalkulator!I17</f>
        <v>0</v>
      </c>
      <c r="R17" s="175">
        <f>[17]Kalkulator!I17</f>
        <v>0</v>
      </c>
      <c r="S17" s="175">
        <f>[18]Kalkulator!I17</f>
        <v>0</v>
      </c>
      <c r="T17" s="175">
        <f>[19]Kalkulator!I17</f>
        <v>0</v>
      </c>
      <c r="U17" s="175">
        <f>[20]Kalkulator!I17</f>
        <v>0</v>
      </c>
      <c r="V17" s="175">
        <f>[21]Kalkulator!I17</f>
        <v>0</v>
      </c>
      <c r="W17" s="175">
        <f>[22]Kalkulator!I17</f>
        <v>0</v>
      </c>
      <c r="X17" s="175">
        <f>[23]Kalkulator!I17</f>
        <v>0</v>
      </c>
      <c r="Y17" s="175">
        <f>[24]Kalkulator!I17</f>
        <v>0</v>
      </c>
      <c r="Z17" s="175">
        <f>[25]Kalkulator!I17</f>
        <v>0</v>
      </c>
      <c r="AB17" s="175">
        <f>[26]Kalkulator!I17</f>
        <v>0</v>
      </c>
      <c r="AC17" s="175">
        <f>[27]Kalkulator!I17</f>
        <v>0</v>
      </c>
      <c r="AD17" s="175">
        <f>[28]Kalkulator!I17</f>
        <v>0</v>
      </c>
      <c r="AE17" s="175">
        <f>[29]Kalkulator!I17</f>
        <v>0</v>
      </c>
      <c r="AF17" s="175">
        <f>[30]Kalkulator!L17</f>
        <v>0</v>
      </c>
      <c r="AG17" s="175">
        <f>[31]Kalkulator!I17</f>
        <v>0</v>
      </c>
      <c r="AH17" s="175">
        <f>[32]Kalkulator!I17</f>
        <v>0</v>
      </c>
      <c r="AI17" s="175">
        <f>[33]Kalkulator!I17</f>
        <v>0</v>
      </c>
      <c r="AJ17" s="175">
        <f>[34]Kalkulator!I17</f>
        <v>0</v>
      </c>
      <c r="AK17" s="175">
        <f>[35]Kalkulator!I17</f>
        <v>0</v>
      </c>
      <c r="AL17" s="175">
        <f>[36]Kalkulator!I17</f>
        <v>0</v>
      </c>
      <c r="AM17" s="175">
        <f>[37]Kalkulator!I17</f>
        <v>0</v>
      </c>
      <c r="AN17" s="175">
        <f>[38]Kalkulator!I17</f>
        <v>0</v>
      </c>
      <c r="AO17" s="175">
        <f>[39]Kalkulator!I17</f>
        <v>0</v>
      </c>
      <c r="AP17" s="175">
        <f>[40]Kalkulator!I17</f>
        <v>0</v>
      </c>
      <c r="AQ17" s="175">
        <f>[41]Kalkulator!I17</f>
        <v>0</v>
      </c>
      <c r="AR17" s="175">
        <f>[42]Kalkulator!I17</f>
        <v>0</v>
      </c>
      <c r="AS17" s="176">
        <f t="shared" si="0"/>
        <v>0</v>
      </c>
    </row>
    <row r="18" spans="1:45" ht="4.5" customHeight="1">
      <c r="A18" s="22"/>
      <c r="B18" s="175">
        <f>[1]Kalkulator!I18</f>
        <v>0</v>
      </c>
      <c r="C18" s="175">
        <f>[2]Kalkulator!I18</f>
        <v>0</v>
      </c>
      <c r="D18" s="175">
        <f>[3]Kalkulator!I18</f>
        <v>0</v>
      </c>
      <c r="E18" s="175">
        <f>[4]Kalkulator!I18</f>
        <v>0</v>
      </c>
      <c r="F18" s="175">
        <f>[5]Kalkulator!I18</f>
        <v>0</v>
      </c>
      <c r="G18" s="175">
        <f>[6]Kalkulator!I18</f>
        <v>0</v>
      </c>
      <c r="H18" s="175">
        <f>[7]Kalkulator!I18</f>
        <v>0</v>
      </c>
      <c r="I18" s="175">
        <f>[8]Kalkulator!I18</f>
        <v>0</v>
      </c>
      <c r="J18" s="175">
        <f>[9]Kalkulator!I18</f>
        <v>0</v>
      </c>
      <c r="K18" s="175"/>
      <c r="L18" s="175">
        <f>[11]Kalkulator!I18</f>
        <v>0</v>
      </c>
      <c r="M18" s="175">
        <f>[12]Kalkulator!I18</f>
        <v>0</v>
      </c>
      <c r="N18" s="175">
        <f>[13]Kalkulator!I18</f>
        <v>0</v>
      </c>
      <c r="O18" s="175">
        <f>[14]Kalkulator!I18</f>
        <v>0</v>
      </c>
      <c r="P18" s="175">
        <f>[15]Kalkulator!I18</f>
        <v>0</v>
      </c>
      <c r="Q18" s="175">
        <f>[16]Kalkulator!I18</f>
        <v>0</v>
      </c>
      <c r="R18" s="175">
        <f>[17]Kalkulator!I18</f>
        <v>0</v>
      </c>
      <c r="S18" s="175">
        <f>[18]Kalkulator!I18</f>
        <v>0</v>
      </c>
      <c r="T18" s="175">
        <f>[19]Kalkulator!I18</f>
        <v>0</v>
      </c>
      <c r="U18" s="175">
        <f>[20]Kalkulator!I18</f>
        <v>0</v>
      </c>
      <c r="V18" s="175">
        <f>[21]Kalkulator!I18</f>
        <v>0</v>
      </c>
      <c r="W18" s="175">
        <f>[22]Kalkulator!I18</f>
        <v>0</v>
      </c>
      <c r="X18" s="175">
        <f>[23]Kalkulator!I18</f>
        <v>0</v>
      </c>
      <c r="Y18" s="175">
        <f>[24]Kalkulator!I18</f>
        <v>0</v>
      </c>
      <c r="Z18" s="175">
        <f>[25]Kalkulator!I18</f>
        <v>0</v>
      </c>
      <c r="AB18" s="175">
        <f>[26]Kalkulator!I18</f>
        <v>0</v>
      </c>
      <c r="AC18" s="175">
        <f>[27]Kalkulator!I18</f>
        <v>0</v>
      </c>
      <c r="AD18" s="175">
        <f>[28]Kalkulator!I18</f>
        <v>0</v>
      </c>
      <c r="AE18" s="175">
        <f>[29]Kalkulator!I18</f>
        <v>0</v>
      </c>
      <c r="AF18" s="175">
        <f>[30]Kalkulator!L18</f>
        <v>0</v>
      </c>
      <c r="AG18" s="175">
        <f>[31]Kalkulator!I18</f>
        <v>0</v>
      </c>
      <c r="AH18" s="175">
        <f>[32]Kalkulator!I18</f>
        <v>0</v>
      </c>
      <c r="AI18" s="175">
        <f>[33]Kalkulator!I18</f>
        <v>0</v>
      </c>
      <c r="AJ18" s="175">
        <f>[34]Kalkulator!I18</f>
        <v>0</v>
      </c>
      <c r="AK18" s="175">
        <f>[35]Kalkulator!I18</f>
        <v>0</v>
      </c>
      <c r="AL18" s="175">
        <f>[36]Kalkulator!I18</f>
        <v>0</v>
      </c>
      <c r="AM18" s="175">
        <f>[37]Kalkulator!I18</f>
        <v>0</v>
      </c>
      <c r="AN18" s="175">
        <f>[38]Kalkulator!I18</f>
        <v>0</v>
      </c>
      <c r="AO18" s="175">
        <f>[39]Kalkulator!I18</f>
        <v>0</v>
      </c>
      <c r="AP18" s="175">
        <f>[40]Kalkulator!I18</f>
        <v>0</v>
      </c>
      <c r="AQ18" s="175">
        <f>[41]Kalkulator!I18</f>
        <v>0</v>
      </c>
      <c r="AR18" s="175">
        <f>[42]Kalkulator!I18</f>
        <v>0</v>
      </c>
      <c r="AS18" s="176">
        <f t="shared" si="0"/>
        <v>0</v>
      </c>
    </row>
    <row r="19" spans="1:45">
      <c r="A19" s="28" t="s">
        <v>0</v>
      </c>
      <c r="B19" s="175">
        <f>[1]Kalkulator!I19</f>
        <v>0</v>
      </c>
      <c r="C19" s="175">
        <f>[2]Kalkulator!I19</f>
        <v>0</v>
      </c>
      <c r="D19" s="175">
        <f>[3]Kalkulator!I19</f>
        <v>0</v>
      </c>
      <c r="E19" s="175">
        <f>[4]Kalkulator!I19</f>
        <v>0</v>
      </c>
      <c r="F19" s="175">
        <f>[5]Kalkulator!I19</f>
        <v>0</v>
      </c>
      <c r="G19" s="175">
        <f>[6]Kalkulator!I19</f>
        <v>0</v>
      </c>
      <c r="H19" s="175">
        <f>[7]Kalkulator!I19</f>
        <v>0</v>
      </c>
      <c r="I19" s="175">
        <f>[8]Kalkulator!I19</f>
        <v>0</v>
      </c>
      <c r="J19" s="175">
        <f>[9]Kalkulator!I19</f>
        <v>0</v>
      </c>
      <c r="K19" s="175">
        <f>[10]Kalkulator!L18</f>
        <v>0</v>
      </c>
      <c r="L19" s="175">
        <f>[11]Kalkulator!I19</f>
        <v>0</v>
      </c>
      <c r="M19" s="175">
        <f>[12]Kalkulator!I19</f>
        <v>0</v>
      </c>
      <c r="N19" s="175">
        <f>[13]Kalkulator!I19</f>
        <v>0</v>
      </c>
      <c r="O19" s="175">
        <f>[14]Kalkulator!I19</f>
        <v>0</v>
      </c>
      <c r="P19" s="175">
        <f>[15]Kalkulator!I19</f>
        <v>0</v>
      </c>
      <c r="Q19" s="175">
        <f>[16]Kalkulator!I19</f>
        <v>0</v>
      </c>
      <c r="R19" s="175">
        <f>[17]Kalkulator!I19</f>
        <v>0</v>
      </c>
      <c r="S19" s="175">
        <f>[18]Kalkulator!I19</f>
        <v>0</v>
      </c>
      <c r="T19" s="175">
        <f>[19]Kalkulator!I19</f>
        <v>0</v>
      </c>
      <c r="U19" s="175">
        <f>[20]Kalkulator!I19</f>
        <v>0</v>
      </c>
      <c r="V19" s="175">
        <f>[21]Kalkulator!I19</f>
        <v>0</v>
      </c>
      <c r="W19" s="175">
        <f>[22]Kalkulator!I19</f>
        <v>0</v>
      </c>
      <c r="X19" s="175">
        <f>[23]Kalkulator!I19</f>
        <v>0</v>
      </c>
      <c r="Y19" s="175">
        <f>[24]Kalkulator!I19</f>
        <v>0</v>
      </c>
      <c r="Z19" s="175">
        <f>[25]Kalkulator!I19</f>
        <v>0</v>
      </c>
      <c r="AB19" s="175">
        <f>[26]Kalkulator!I19</f>
        <v>0</v>
      </c>
      <c r="AC19" s="175">
        <f>[27]Kalkulator!I19</f>
        <v>0</v>
      </c>
      <c r="AD19" s="175">
        <f>[28]Kalkulator!I19</f>
        <v>0</v>
      </c>
      <c r="AE19" s="175">
        <f>[29]Kalkulator!I19</f>
        <v>0</v>
      </c>
      <c r="AF19" s="175">
        <f>[30]Kalkulator!L19</f>
        <v>0</v>
      </c>
      <c r="AG19" s="175">
        <f>[31]Kalkulator!I19</f>
        <v>0</v>
      </c>
      <c r="AH19" s="175">
        <f>[32]Kalkulator!I19</f>
        <v>0</v>
      </c>
      <c r="AI19" s="175">
        <f>[33]Kalkulator!I19</f>
        <v>0</v>
      </c>
      <c r="AJ19" s="175">
        <f>[34]Kalkulator!I19</f>
        <v>0</v>
      </c>
      <c r="AK19" s="175">
        <f>[35]Kalkulator!I19</f>
        <v>0</v>
      </c>
      <c r="AL19" s="175">
        <f>[36]Kalkulator!I19</f>
        <v>0</v>
      </c>
      <c r="AM19" s="175">
        <f>[37]Kalkulator!I19</f>
        <v>0</v>
      </c>
      <c r="AN19" s="175">
        <f>[38]Kalkulator!I19</f>
        <v>0</v>
      </c>
      <c r="AO19" s="175">
        <f>[39]Kalkulator!I19</f>
        <v>0</v>
      </c>
      <c r="AP19" s="175">
        <f>[40]Kalkulator!I19</f>
        <v>0</v>
      </c>
      <c r="AQ19" s="175">
        <f>[41]Kalkulator!I19</f>
        <v>0</v>
      </c>
      <c r="AR19" s="175">
        <f>[42]Kalkulator!I19</f>
        <v>0</v>
      </c>
      <c r="AS19" s="176">
        <f t="shared" si="0"/>
        <v>0</v>
      </c>
    </row>
    <row r="20" spans="1:45">
      <c r="A20" s="29" t="s">
        <v>53</v>
      </c>
      <c r="B20" s="175">
        <f>[1]Kalkulator!I20</f>
        <v>48000</v>
      </c>
      <c r="C20" s="175">
        <f>[2]Kalkulator!I20</f>
        <v>96000</v>
      </c>
      <c r="D20" s="175">
        <f>[3]Kalkulator!I20</f>
        <v>48000</v>
      </c>
      <c r="E20" s="175">
        <f>[4]Kalkulator!I20</f>
        <v>0</v>
      </c>
      <c r="F20" s="175">
        <f>[5]Kalkulator!I20</f>
        <v>96000</v>
      </c>
      <c r="G20" s="175">
        <f>[6]Kalkulator!I20</f>
        <v>24000</v>
      </c>
      <c r="H20" s="175">
        <f>[7]Kalkulator!I20</f>
        <v>144000</v>
      </c>
      <c r="I20" s="175">
        <f>[8]Kalkulator!I20</f>
        <v>60000</v>
      </c>
      <c r="J20" s="175">
        <f>[9]Kalkulator!I20</f>
        <v>38400</v>
      </c>
      <c r="K20" s="175">
        <f>[10]Kalkulator!M20</f>
        <v>13697.614399541288</v>
      </c>
      <c r="L20" s="175">
        <f>[11]Kalkulator!I20</f>
        <v>52800</v>
      </c>
      <c r="M20" s="175">
        <f>[12]Kalkulator!I20</f>
        <v>0</v>
      </c>
      <c r="N20" s="175">
        <f>[13]Kalkulator!I20</f>
        <v>288000</v>
      </c>
      <c r="O20" s="175">
        <f>[14]Kalkulator!I20</f>
        <v>24000</v>
      </c>
      <c r="P20" s="175">
        <f>[15]Kalkulator!I20</f>
        <v>192000</v>
      </c>
      <c r="Q20" s="175">
        <f>[16]Kalkulator!I20</f>
        <v>122400</v>
      </c>
      <c r="R20" s="175">
        <f>[17]Kalkulator!I20</f>
        <v>153600</v>
      </c>
      <c r="S20" s="175">
        <f>[18]Kalkulator!I20</f>
        <v>24000</v>
      </c>
      <c r="T20" s="175">
        <f>[19]Kalkulator!I20</f>
        <v>122400</v>
      </c>
      <c r="U20" s="175">
        <f>[20]Kalkulator!I20</f>
        <v>67200</v>
      </c>
      <c r="V20" s="175">
        <f>[21]Kalkulator!I20</f>
        <v>211200</v>
      </c>
      <c r="W20" s="175">
        <f>[22]Kalkulator!I20</f>
        <v>24000</v>
      </c>
      <c r="X20" s="175">
        <f>[23]Kalkulator!I20</f>
        <v>26400</v>
      </c>
      <c r="Y20" s="175">
        <f>[24]Kalkulator!I20</f>
        <v>93600</v>
      </c>
      <c r="Z20" s="175">
        <f>[25]Kalkulator!I20</f>
        <v>31200</v>
      </c>
      <c r="AB20" s="175">
        <f>[26]Kalkulator!I20</f>
        <v>384000</v>
      </c>
      <c r="AC20" s="175">
        <f>[27]Kalkulator!I20</f>
        <v>192000</v>
      </c>
      <c r="AD20" s="175">
        <f>[28]Kalkulator!I20</f>
        <v>36000</v>
      </c>
      <c r="AE20" s="175">
        <f>[29]Kalkulator!I20</f>
        <v>72000</v>
      </c>
      <c r="AF20" s="175">
        <f>[30]Kalkulator!L20</f>
        <v>7303.6420653107007</v>
      </c>
      <c r="AG20" s="175">
        <f>[31]Kalkulator!I20</f>
        <v>0</v>
      </c>
      <c r="AH20" s="175">
        <f>[32]Kalkulator!I20</f>
        <v>28800</v>
      </c>
      <c r="AI20" s="175">
        <f>[33]Kalkulator!I20</f>
        <v>24000</v>
      </c>
      <c r="AJ20" s="175">
        <f>[34]Kalkulator!I20</f>
        <v>384000</v>
      </c>
      <c r="AK20" s="175">
        <f>[35]Kalkulator!I20</f>
        <v>30461.972195390277</v>
      </c>
      <c r="AL20" s="175">
        <f>[36]Kalkulator!I20</f>
        <v>139200</v>
      </c>
      <c r="AM20" s="175">
        <f>[37]Kalkulator!I20</f>
        <v>139200</v>
      </c>
      <c r="AN20" s="175">
        <f>[38]Kalkulator!I20</f>
        <v>67200</v>
      </c>
      <c r="AO20" s="175">
        <f>[39]Kalkulator!I20</f>
        <v>72000</v>
      </c>
      <c r="AP20" s="175">
        <f>[40]Kalkulator!I20</f>
        <v>384000</v>
      </c>
      <c r="AQ20" s="175">
        <f>[41]Kalkulator!I20</f>
        <v>96000</v>
      </c>
      <c r="AR20" s="175">
        <f>[42]Kalkulator!I20</f>
        <v>91200</v>
      </c>
      <c r="AS20" s="176">
        <f t="shared" si="0"/>
        <v>4148263.2286602422</v>
      </c>
    </row>
    <row r="21" spans="1:45">
      <c r="A21" s="29" t="s">
        <v>54</v>
      </c>
      <c r="B21" s="175">
        <f>[1]Kalkulator!I21</f>
        <v>6000</v>
      </c>
      <c r="C21" s="175">
        <f>[2]Kalkulator!I21</f>
        <v>24000</v>
      </c>
      <c r="D21" s="175">
        <f>[3]Kalkulator!I21</f>
        <v>12000</v>
      </c>
      <c r="E21" s="175">
        <f>[4]Kalkulator!I21</f>
        <v>6000</v>
      </c>
      <c r="F21" s="175">
        <f>[5]Kalkulator!I21</f>
        <v>24000</v>
      </c>
      <c r="G21" s="175">
        <f>[6]Kalkulator!I21</f>
        <v>6000</v>
      </c>
      <c r="H21" s="175">
        <f>[7]Kalkulator!I21</f>
        <v>9000</v>
      </c>
      <c r="I21" s="175">
        <f>[8]Kalkulator!I21</f>
        <v>15000</v>
      </c>
      <c r="J21" s="175">
        <f>[9]Kalkulator!I21</f>
        <v>9600</v>
      </c>
      <c r="K21" s="175">
        <f>[10]Kalkulator!M21</f>
        <v>3424.4035998853219</v>
      </c>
      <c r="L21" s="175">
        <f>[11]Kalkulator!I21</f>
        <v>13200</v>
      </c>
      <c r="M21" s="175">
        <f>[12]Kalkulator!I21</f>
        <v>96000</v>
      </c>
      <c r="N21" s="175">
        <f>[13]Kalkulator!I21</f>
        <v>72000</v>
      </c>
      <c r="O21" s="175">
        <f>[14]Kalkulator!I21</f>
        <v>6000</v>
      </c>
      <c r="P21" s="175">
        <f>[15]Kalkulator!I21</f>
        <v>24000</v>
      </c>
      <c r="Q21" s="175">
        <f>[16]Kalkulator!I21</f>
        <v>10200</v>
      </c>
      <c r="R21" s="175">
        <f>[17]Kalkulator!I21</f>
        <v>19200</v>
      </c>
      <c r="S21" s="175">
        <f>[18]Kalkulator!I21</f>
        <v>6000</v>
      </c>
      <c r="T21" s="175">
        <f>[19]Kalkulator!I21</f>
        <v>40800</v>
      </c>
      <c r="U21" s="175">
        <f>[20]Kalkulator!I21</f>
        <v>8400</v>
      </c>
      <c r="V21" s="175">
        <f>[21]Kalkulator!I21</f>
        <v>13200</v>
      </c>
      <c r="W21" s="175">
        <f>[22]Kalkulator!I21</f>
        <v>6000</v>
      </c>
      <c r="X21" s="175">
        <f>[23]Kalkulator!I21</f>
        <v>6600</v>
      </c>
      <c r="Y21" s="175">
        <f>[24]Kalkulator!I21</f>
        <v>23400</v>
      </c>
      <c r="Z21" s="175">
        <f>[25]Kalkulator!I21</f>
        <v>7800</v>
      </c>
      <c r="AB21" s="175">
        <f>[26]Kalkulator!I21</f>
        <v>96000</v>
      </c>
      <c r="AC21" s="175">
        <f>[27]Kalkulator!I21</f>
        <v>96000</v>
      </c>
      <c r="AD21" s="175">
        <f>[28]Kalkulator!I21</f>
        <v>3000</v>
      </c>
      <c r="AE21" s="175">
        <f>[29]Kalkulator!I21</f>
        <v>6000</v>
      </c>
      <c r="AF21" s="175">
        <f>[30]Kalkulator!L21</f>
        <v>1825.9105163276752</v>
      </c>
      <c r="AG21" s="175">
        <f>[31]Kalkulator!I21</f>
        <v>0</v>
      </c>
      <c r="AH21" s="175">
        <f>[32]Kalkulator!I21</f>
        <v>7200</v>
      </c>
      <c r="AI21" s="175">
        <f>[33]Kalkulator!I21</f>
        <v>6000</v>
      </c>
      <c r="AJ21" s="175">
        <f>[34]Kalkulator!I21</f>
        <v>96000</v>
      </c>
      <c r="AK21" s="175">
        <f>[35]Kalkulator!I21</f>
        <v>7615.4930488475693</v>
      </c>
      <c r="AL21" s="175">
        <f>[36]Kalkulator!I21</f>
        <v>34800</v>
      </c>
      <c r="AM21" s="175">
        <f>[37]Kalkulator!I21</f>
        <v>17400</v>
      </c>
      <c r="AN21" s="175">
        <f>[38]Kalkulator!I21</f>
        <v>16800</v>
      </c>
      <c r="AO21" s="175">
        <f>[39]Kalkulator!I21</f>
        <v>12000</v>
      </c>
      <c r="AP21" s="175">
        <f>[40]Kalkulator!I21</f>
        <v>96000</v>
      </c>
      <c r="AQ21" s="175">
        <f>[41]Kalkulator!I21</f>
        <v>24000</v>
      </c>
      <c r="AR21" s="175">
        <f>[42]Kalkulator!I21</f>
        <v>22800</v>
      </c>
      <c r="AS21" s="176">
        <f t="shared" si="0"/>
        <v>1011265.8071650605</v>
      </c>
    </row>
    <row r="22" spans="1:45">
      <c r="A22" s="28" t="s">
        <v>2</v>
      </c>
      <c r="B22" s="175">
        <f>[1]Kalkulator!I22</f>
        <v>0</v>
      </c>
      <c r="C22" s="175">
        <f>[2]Kalkulator!I22</f>
        <v>0</v>
      </c>
      <c r="D22" s="175">
        <f>[3]Kalkulator!I22</f>
        <v>0</v>
      </c>
      <c r="E22" s="175">
        <f>[4]Kalkulator!I22</f>
        <v>0</v>
      </c>
      <c r="F22" s="175">
        <f>[5]Kalkulator!I22</f>
        <v>0</v>
      </c>
      <c r="G22" s="175">
        <f>[6]Kalkulator!I22</f>
        <v>0</v>
      </c>
      <c r="H22" s="175">
        <f>[7]Kalkulator!I22</f>
        <v>0</v>
      </c>
      <c r="I22" s="175">
        <f>[8]Kalkulator!I22</f>
        <v>0</v>
      </c>
      <c r="J22" s="175">
        <f>[9]Kalkulator!I22</f>
        <v>0</v>
      </c>
      <c r="K22" s="175">
        <f>[10]Kalkulator!M22</f>
        <v>0</v>
      </c>
      <c r="L22" s="175">
        <f>[11]Kalkulator!I22</f>
        <v>0</v>
      </c>
      <c r="M22" s="175">
        <f>[12]Kalkulator!I22</f>
        <v>0</v>
      </c>
      <c r="N22" s="175">
        <f>[13]Kalkulator!I22</f>
        <v>0</v>
      </c>
      <c r="O22" s="175">
        <f>[14]Kalkulator!I22</f>
        <v>0</v>
      </c>
      <c r="P22" s="175">
        <f>[15]Kalkulator!I22</f>
        <v>0</v>
      </c>
      <c r="Q22" s="175">
        <f>[16]Kalkulator!I22</f>
        <v>0</v>
      </c>
      <c r="R22" s="175">
        <f>[17]Kalkulator!I22</f>
        <v>0</v>
      </c>
      <c r="S22" s="175">
        <f>[18]Kalkulator!I22</f>
        <v>0</v>
      </c>
      <c r="T22" s="175">
        <f>[19]Kalkulator!I22</f>
        <v>0</v>
      </c>
      <c r="U22" s="175">
        <f>[20]Kalkulator!I22</f>
        <v>0</v>
      </c>
      <c r="V22" s="175">
        <f>[21]Kalkulator!I22</f>
        <v>0</v>
      </c>
      <c r="W22" s="175">
        <f>[22]Kalkulator!I22</f>
        <v>0</v>
      </c>
      <c r="X22" s="175">
        <f>[23]Kalkulator!I22</f>
        <v>0</v>
      </c>
      <c r="Y22" s="175">
        <f>[24]Kalkulator!I22</f>
        <v>0</v>
      </c>
      <c r="Z22" s="175">
        <f>[25]Kalkulator!I22</f>
        <v>0</v>
      </c>
      <c r="AB22" s="175">
        <f>[26]Kalkulator!I22</f>
        <v>0</v>
      </c>
      <c r="AC22" s="175">
        <f>[27]Kalkulator!I22</f>
        <v>0</v>
      </c>
      <c r="AD22" s="175">
        <f>[28]Kalkulator!I22</f>
        <v>0</v>
      </c>
      <c r="AE22" s="175">
        <f>[29]Kalkulator!I22</f>
        <v>0</v>
      </c>
      <c r="AF22" s="175">
        <f>[30]Kalkulator!L22</f>
        <v>0</v>
      </c>
      <c r="AG22" s="175">
        <f>[31]Kalkulator!I22</f>
        <v>0</v>
      </c>
      <c r="AH22" s="175">
        <f>[32]Kalkulator!I22</f>
        <v>0</v>
      </c>
      <c r="AI22" s="175">
        <f>[33]Kalkulator!I22</f>
        <v>0</v>
      </c>
      <c r="AJ22" s="175">
        <f>[34]Kalkulator!I22</f>
        <v>0</v>
      </c>
      <c r="AK22" s="175">
        <f>[35]Kalkulator!I22</f>
        <v>0</v>
      </c>
      <c r="AL22" s="175">
        <f>[36]Kalkulator!I22</f>
        <v>0</v>
      </c>
      <c r="AM22" s="175">
        <f>[37]Kalkulator!I22</f>
        <v>0</v>
      </c>
      <c r="AN22" s="175">
        <f>[38]Kalkulator!I22</f>
        <v>0</v>
      </c>
      <c r="AO22" s="175">
        <f>[39]Kalkulator!I22</f>
        <v>0</v>
      </c>
      <c r="AP22" s="175">
        <f>[40]Kalkulator!I22</f>
        <v>0</v>
      </c>
      <c r="AQ22" s="175">
        <f>[41]Kalkulator!I22</f>
        <v>0</v>
      </c>
      <c r="AR22" s="175">
        <f>[42]Kalkulator!I22</f>
        <v>0</v>
      </c>
      <c r="AS22" s="176">
        <f t="shared" si="0"/>
        <v>0</v>
      </c>
    </row>
    <row r="23" spans="1:45">
      <c r="A23" s="23" t="s">
        <v>8</v>
      </c>
      <c r="B23" s="175">
        <f>[1]Kalkulator!I23</f>
        <v>9000</v>
      </c>
      <c r="C23" s="175">
        <f>[2]Kalkulator!I23</f>
        <v>36000</v>
      </c>
      <c r="D23" s="175">
        <f>[3]Kalkulator!I23</f>
        <v>0</v>
      </c>
      <c r="E23" s="175">
        <f>[4]Kalkulator!I23</f>
        <v>9000</v>
      </c>
      <c r="F23" s="175">
        <f>[5]Kalkulator!I23</f>
        <v>36000</v>
      </c>
      <c r="G23" s="175">
        <f>[6]Kalkulator!I23</f>
        <v>9000</v>
      </c>
      <c r="H23" s="175">
        <f>[7]Kalkulator!I23</f>
        <v>13500</v>
      </c>
      <c r="I23" s="175">
        <f>[8]Kalkulator!I23</f>
        <v>22500</v>
      </c>
      <c r="J23" s="175">
        <f>[9]Kalkulator!I23</f>
        <v>14400</v>
      </c>
      <c r="K23" s="175">
        <f>[10]Kalkulator!M23</f>
        <v>2568.3026999139911</v>
      </c>
      <c r="L23" s="175">
        <f>[11]Kalkulator!I23</f>
        <v>19800.000000000004</v>
      </c>
      <c r="M23" s="175">
        <f>[12]Kalkulator!I23</f>
        <v>108000</v>
      </c>
      <c r="N23" s="175">
        <f>[13]Kalkulator!I23</f>
        <v>68400</v>
      </c>
      <c r="O23" s="175">
        <f>[14]Kalkulator!I23</f>
        <v>9000</v>
      </c>
      <c r="P23" s="175">
        <f>[15]Kalkulator!I23</f>
        <v>36000</v>
      </c>
      <c r="Q23" s="175">
        <f>[16]Kalkulator!I23</f>
        <v>15300</v>
      </c>
      <c r="R23" s="175">
        <f>[17]Kalkulator!I23</f>
        <v>28800</v>
      </c>
      <c r="S23" s="175">
        <f>[18]Kalkulator!I23</f>
        <v>0</v>
      </c>
      <c r="T23" s="175">
        <f>[19]Kalkulator!I23</f>
        <v>9000</v>
      </c>
      <c r="U23" s="175">
        <f>[20]Kalkulator!I23</f>
        <v>12600</v>
      </c>
      <c r="V23" s="175">
        <f>[21]Kalkulator!I23</f>
        <v>19800.000000000004</v>
      </c>
      <c r="W23" s="175">
        <f>[22]Kalkulator!I23</f>
        <v>9000</v>
      </c>
      <c r="X23" s="175">
        <f>[23]Kalkulator!I23</f>
        <v>9900.0000000000018</v>
      </c>
      <c r="Y23" s="175">
        <f>[24]Kalkulator!I23</f>
        <v>0</v>
      </c>
      <c r="Z23" s="175">
        <f>[25]Kalkulator!I23</f>
        <v>11700</v>
      </c>
      <c r="AB23" s="175">
        <f>[26]Kalkulator!I23</f>
        <v>72000</v>
      </c>
      <c r="AC23" s="175">
        <f>[27]Kalkulator!I23</f>
        <v>0</v>
      </c>
      <c r="AD23" s="175">
        <f>[28]Kalkulator!I23</f>
        <v>0</v>
      </c>
      <c r="AE23" s="175">
        <f>[29]Kalkulator!I23</f>
        <v>9000</v>
      </c>
      <c r="AF23" s="175">
        <f>[30]Kalkulator!L23</f>
        <v>2738.8657744915126</v>
      </c>
      <c r="AG23" s="175">
        <f>[31]Kalkulator!I23</f>
        <v>0</v>
      </c>
      <c r="AH23" s="175">
        <f>[32]Kalkulator!I23</f>
        <v>0</v>
      </c>
      <c r="AI23" s="175">
        <f>[33]Kalkulator!I23</f>
        <v>9000</v>
      </c>
      <c r="AJ23" s="175">
        <f>[34]Kalkulator!I23</f>
        <v>0</v>
      </c>
      <c r="AK23" s="175">
        <f>[35]Kalkulator!I23</f>
        <v>11423.239573271354</v>
      </c>
      <c r="AL23" s="175">
        <f>[36]Kalkulator!I23</f>
        <v>52200</v>
      </c>
      <c r="AM23" s="175">
        <f>[37]Kalkulator!I23</f>
        <v>26100</v>
      </c>
      <c r="AN23" s="175">
        <f>[38]Kalkulator!I23</f>
        <v>25200</v>
      </c>
      <c r="AO23" s="175">
        <f>[39]Kalkulator!I23</f>
        <v>0</v>
      </c>
      <c r="AP23" s="175">
        <f>[40]Kalkulator!I23</f>
        <v>0</v>
      </c>
      <c r="AQ23" s="175">
        <f>[41]Kalkulator!I23</f>
        <v>36000</v>
      </c>
      <c r="AR23" s="175">
        <f>[42]Kalkulator!I23</f>
        <v>0</v>
      </c>
      <c r="AS23" s="176">
        <f t="shared" si="0"/>
        <v>752930.4080476769</v>
      </c>
    </row>
    <row r="24" spans="1:45">
      <c r="A24" s="28" t="s">
        <v>3</v>
      </c>
      <c r="B24" s="175">
        <f>[1]Kalkulator!I24</f>
        <v>0</v>
      </c>
      <c r="C24" s="175">
        <f>[2]Kalkulator!I24</f>
        <v>0</v>
      </c>
      <c r="D24" s="175">
        <f>[3]Kalkulator!I24</f>
        <v>0</v>
      </c>
      <c r="E24" s="175">
        <f>[4]Kalkulator!I24</f>
        <v>0</v>
      </c>
      <c r="F24" s="175">
        <f>[5]Kalkulator!I24</f>
        <v>0</v>
      </c>
      <c r="G24" s="175">
        <f>[6]Kalkulator!I24</f>
        <v>0</v>
      </c>
      <c r="H24" s="175">
        <f>[7]Kalkulator!I24</f>
        <v>0</v>
      </c>
      <c r="I24" s="175">
        <f>[8]Kalkulator!I24</f>
        <v>0</v>
      </c>
      <c r="J24" s="175">
        <f>[9]Kalkulator!I24</f>
        <v>0</v>
      </c>
      <c r="K24" s="175">
        <f>[10]Kalkulator!M24</f>
        <v>0</v>
      </c>
      <c r="L24" s="175">
        <f>[11]Kalkulator!I24</f>
        <v>0</v>
      </c>
      <c r="M24" s="175">
        <f>[12]Kalkulator!I24</f>
        <v>0</v>
      </c>
      <c r="N24" s="175">
        <f>[13]Kalkulator!I24</f>
        <v>0</v>
      </c>
      <c r="O24" s="175">
        <f>[14]Kalkulator!I24</f>
        <v>0</v>
      </c>
      <c r="P24" s="175">
        <f>[15]Kalkulator!I24</f>
        <v>0</v>
      </c>
      <c r="Q24" s="175">
        <f>[16]Kalkulator!I24</f>
        <v>0</v>
      </c>
      <c r="R24" s="175">
        <f>[17]Kalkulator!I24</f>
        <v>0</v>
      </c>
      <c r="S24" s="175">
        <f>[18]Kalkulator!I24</f>
        <v>0</v>
      </c>
      <c r="T24" s="175">
        <f>[19]Kalkulator!I24</f>
        <v>0</v>
      </c>
      <c r="U24" s="175">
        <f>[20]Kalkulator!I24</f>
        <v>0</v>
      </c>
      <c r="V24" s="175">
        <f>[21]Kalkulator!I24</f>
        <v>0</v>
      </c>
      <c r="W24" s="175">
        <f>[22]Kalkulator!I24</f>
        <v>0</v>
      </c>
      <c r="X24" s="175">
        <f>[23]Kalkulator!I24</f>
        <v>0</v>
      </c>
      <c r="Y24" s="175">
        <f>[24]Kalkulator!I24</f>
        <v>0</v>
      </c>
      <c r="Z24" s="175">
        <f>[25]Kalkulator!I24</f>
        <v>0</v>
      </c>
      <c r="AB24" s="175">
        <f>[26]Kalkulator!I24</f>
        <v>0</v>
      </c>
      <c r="AC24" s="175">
        <f>[27]Kalkulator!I24</f>
        <v>0</v>
      </c>
      <c r="AD24" s="175">
        <f>[28]Kalkulator!I24</f>
        <v>0</v>
      </c>
      <c r="AE24" s="175">
        <f>[29]Kalkulator!I24</f>
        <v>0</v>
      </c>
      <c r="AF24" s="175">
        <f>[30]Kalkulator!L24</f>
        <v>0</v>
      </c>
      <c r="AG24" s="175">
        <f>[31]Kalkulator!I24</f>
        <v>0</v>
      </c>
      <c r="AH24" s="175">
        <f>[32]Kalkulator!I24</f>
        <v>0</v>
      </c>
      <c r="AI24" s="175">
        <f>[33]Kalkulator!I24</f>
        <v>0</v>
      </c>
      <c r="AJ24" s="175">
        <f>[34]Kalkulator!I24</f>
        <v>0</v>
      </c>
      <c r="AK24" s="175">
        <f>[35]Kalkulator!I24</f>
        <v>0</v>
      </c>
      <c r="AL24" s="175">
        <f>[36]Kalkulator!I24</f>
        <v>0</v>
      </c>
      <c r="AM24" s="175">
        <f>[37]Kalkulator!I24</f>
        <v>0</v>
      </c>
      <c r="AN24" s="175">
        <f>[38]Kalkulator!I24</f>
        <v>0</v>
      </c>
      <c r="AO24" s="175">
        <f>[39]Kalkulator!I24</f>
        <v>0</v>
      </c>
      <c r="AP24" s="175">
        <f>[40]Kalkulator!I24</f>
        <v>0</v>
      </c>
      <c r="AQ24" s="175">
        <f>[41]Kalkulator!I24</f>
        <v>0</v>
      </c>
      <c r="AR24" s="175">
        <f>[42]Kalkulator!I24</f>
        <v>0</v>
      </c>
      <c r="AS24" s="176">
        <f t="shared" si="0"/>
        <v>0</v>
      </c>
    </row>
    <row r="25" spans="1:45">
      <c r="A25" s="29" t="s">
        <v>9</v>
      </c>
      <c r="B25" s="175">
        <f>[1]Kalkulator!I25</f>
        <v>30000</v>
      </c>
      <c r="C25" s="175">
        <f>[2]Kalkulator!I25</f>
        <v>120000</v>
      </c>
      <c r="D25" s="175">
        <f>[3]Kalkulator!I25</f>
        <v>60000</v>
      </c>
      <c r="E25" s="175">
        <f>[4]Kalkulator!I25</f>
        <v>30000</v>
      </c>
      <c r="F25" s="175">
        <f>[5]Kalkulator!I25</f>
        <v>120000</v>
      </c>
      <c r="G25" s="175">
        <f>[6]Kalkulator!I25</f>
        <v>30000</v>
      </c>
      <c r="H25" s="175">
        <f>[7]Kalkulator!I25</f>
        <v>90000</v>
      </c>
      <c r="I25" s="175">
        <f>[8]Kalkulator!I25</f>
        <v>75000</v>
      </c>
      <c r="J25" s="175">
        <f>[9]Kalkulator!I25</f>
        <v>30000</v>
      </c>
      <c r="K25" s="175">
        <f>[10]Kalkulator!M25</f>
        <v>1783.5435416069383</v>
      </c>
      <c r="L25" s="175">
        <f>[11]Kalkulator!I25</f>
        <v>66000</v>
      </c>
      <c r="M25" s="175">
        <f>[12]Kalkulator!I25</f>
        <v>360000</v>
      </c>
      <c r="N25" s="175">
        <f>[13]Kalkulator!I25</f>
        <v>360000</v>
      </c>
      <c r="O25" s="175">
        <f>[14]Kalkulator!I25</f>
        <v>228000</v>
      </c>
      <c r="P25" s="175">
        <f>[15]Kalkulator!I25</f>
        <v>30000</v>
      </c>
      <c r="Q25" s="175">
        <f>[16]Kalkulator!I25</f>
        <v>51000</v>
      </c>
      <c r="R25" s="175">
        <f>[17]Kalkulator!I25</f>
        <v>384000</v>
      </c>
      <c r="S25" s="175">
        <f>[18]Kalkulator!I25</f>
        <v>30000</v>
      </c>
      <c r="T25" s="175">
        <f>[19]Kalkulator!I25</f>
        <v>30000</v>
      </c>
      <c r="U25" s="175">
        <f>[20]Kalkulator!I25</f>
        <v>84000</v>
      </c>
      <c r="V25" s="175">
        <f>[21]Kalkulator!I25</f>
        <v>66000</v>
      </c>
      <c r="W25" s="175">
        <f>[22]Kalkulator!I25</f>
        <v>30000</v>
      </c>
      <c r="X25" s="175">
        <f>[23]Kalkulator!I25</f>
        <v>33000</v>
      </c>
      <c r="Y25" s="175">
        <f>[24]Kalkulator!I25</f>
        <v>39000</v>
      </c>
      <c r="Z25" s="175">
        <f>[25]Kalkulator!I25</f>
        <v>39000</v>
      </c>
      <c r="AB25" s="175">
        <f>[26]Kalkulator!I25</f>
        <v>120000</v>
      </c>
      <c r="AC25" s="175">
        <f>[27]Kalkulator!I25</f>
        <v>120000</v>
      </c>
      <c r="AD25" s="175">
        <f>[28]Kalkulator!I25</f>
        <v>15000</v>
      </c>
      <c r="AE25" s="175">
        <f>[29]Kalkulator!I25</f>
        <v>30000</v>
      </c>
      <c r="AF25" s="175">
        <f>[30]Kalkulator!L25</f>
        <v>9129.5525816383742</v>
      </c>
      <c r="AG25" s="175">
        <f>[31]Kalkulator!I25</f>
        <v>0</v>
      </c>
      <c r="AH25" s="175">
        <f>[32]Kalkulator!I25</f>
        <v>36000</v>
      </c>
      <c r="AI25" s="175">
        <f>[33]Kalkulator!I25</f>
        <v>30000</v>
      </c>
      <c r="AJ25" s="175">
        <f>[34]Kalkulator!I25</f>
        <v>120000</v>
      </c>
      <c r="AK25" s="175">
        <f>[35]Kalkulator!I25</f>
        <v>38077.465244237843</v>
      </c>
      <c r="AL25" s="175">
        <f>[36]Kalkulator!I25</f>
        <v>87000</v>
      </c>
      <c r="AM25" s="175">
        <f>[37]Kalkulator!I25</f>
        <v>87000</v>
      </c>
      <c r="AN25" s="175">
        <f>[38]Kalkulator!I25</f>
        <v>84000</v>
      </c>
      <c r="AO25" s="175">
        <f>[39]Kalkulator!I25</f>
        <v>30000</v>
      </c>
      <c r="AP25" s="175">
        <f>[40]Kalkulator!I25</f>
        <v>120000</v>
      </c>
      <c r="AQ25" s="175">
        <f>[41]Kalkulator!I25</f>
        <v>120000</v>
      </c>
      <c r="AR25" s="175">
        <f>[42]Kalkulator!I25</f>
        <v>57000</v>
      </c>
      <c r="AS25" s="176">
        <f t="shared" si="0"/>
        <v>3519990.5613674833</v>
      </c>
    </row>
    <row r="26" spans="1:45">
      <c r="A26" s="28" t="s">
        <v>1</v>
      </c>
      <c r="B26" s="175">
        <f>[1]Kalkulator!I26</f>
        <v>0</v>
      </c>
      <c r="C26" s="175">
        <f>[2]Kalkulator!I26</f>
        <v>0</v>
      </c>
      <c r="D26" s="175">
        <f>[3]Kalkulator!I26</f>
        <v>0</v>
      </c>
      <c r="E26" s="175">
        <f>[4]Kalkulator!I26</f>
        <v>0</v>
      </c>
      <c r="F26" s="175">
        <f>[5]Kalkulator!I26</f>
        <v>0</v>
      </c>
      <c r="G26" s="175">
        <f>[6]Kalkulator!I26</f>
        <v>0</v>
      </c>
      <c r="H26" s="175">
        <f>[7]Kalkulator!I26</f>
        <v>0</v>
      </c>
      <c r="I26" s="175">
        <f>[8]Kalkulator!I26</f>
        <v>0</v>
      </c>
      <c r="J26" s="175">
        <f>[9]Kalkulator!I26</f>
        <v>0</v>
      </c>
      <c r="K26" s="175">
        <f>[10]Kalkulator!L25</f>
        <v>0</v>
      </c>
      <c r="L26" s="175">
        <f>[11]Kalkulator!I26</f>
        <v>0</v>
      </c>
      <c r="M26" s="175">
        <f>[12]Kalkulator!I26</f>
        <v>0</v>
      </c>
      <c r="N26" s="175">
        <f>[13]Kalkulator!I26</f>
        <v>0</v>
      </c>
      <c r="O26" s="175">
        <f>[14]Kalkulator!I26</f>
        <v>0</v>
      </c>
      <c r="P26" s="175">
        <f>[15]Kalkulator!I26</f>
        <v>0</v>
      </c>
      <c r="Q26" s="175">
        <f>[16]Kalkulator!I26</f>
        <v>0</v>
      </c>
      <c r="R26" s="175">
        <f>[17]Kalkulator!I26</f>
        <v>0</v>
      </c>
      <c r="S26" s="175">
        <f>[18]Kalkulator!I26</f>
        <v>0</v>
      </c>
      <c r="T26" s="175">
        <f>[19]Kalkulator!I26</f>
        <v>0</v>
      </c>
      <c r="U26" s="175">
        <f>[20]Kalkulator!I26</f>
        <v>0</v>
      </c>
      <c r="V26" s="175">
        <f>[21]Kalkulator!I26</f>
        <v>0</v>
      </c>
      <c r="W26" s="175">
        <f>[22]Kalkulator!I26</f>
        <v>0</v>
      </c>
      <c r="X26" s="175">
        <f>[23]Kalkulator!I26</f>
        <v>0</v>
      </c>
      <c r="Y26" s="175">
        <f>[24]Kalkulator!I26</f>
        <v>0</v>
      </c>
      <c r="Z26" s="175">
        <f>[25]Kalkulator!I26</f>
        <v>0</v>
      </c>
      <c r="AB26" s="175">
        <f>[26]Kalkulator!I26</f>
        <v>0</v>
      </c>
      <c r="AC26" s="175">
        <f>[27]Kalkulator!I26</f>
        <v>0</v>
      </c>
      <c r="AD26" s="175">
        <f>[28]Kalkulator!I26</f>
        <v>0</v>
      </c>
      <c r="AE26" s="175">
        <f>[29]Kalkulator!I26</f>
        <v>0</v>
      </c>
      <c r="AF26" s="175">
        <f>[30]Kalkulator!L26</f>
        <v>0</v>
      </c>
      <c r="AG26" s="175">
        <f>[31]Kalkulator!I26</f>
        <v>0</v>
      </c>
      <c r="AH26" s="175">
        <f>[32]Kalkulator!I26</f>
        <v>0</v>
      </c>
      <c r="AI26" s="175">
        <f>[33]Kalkulator!I26</f>
        <v>0</v>
      </c>
      <c r="AJ26" s="175">
        <f>[34]Kalkulator!I26</f>
        <v>0</v>
      </c>
      <c r="AK26" s="175">
        <f>[35]Kalkulator!I26</f>
        <v>0</v>
      </c>
      <c r="AL26" s="175">
        <f>[36]Kalkulator!I26</f>
        <v>0</v>
      </c>
      <c r="AM26" s="175">
        <f>[37]Kalkulator!I26</f>
        <v>0</v>
      </c>
      <c r="AN26" s="175">
        <f>[38]Kalkulator!I26</f>
        <v>0</v>
      </c>
      <c r="AO26" s="175">
        <f>[39]Kalkulator!I26</f>
        <v>0</v>
      </c>
      <c r="AP26" s="175">
        <f>[40]Kalkulator!I26</f>
        <v>0</v>
      </c>
      <c r="AQ26" s="175">
        <f>[41]Kalkulator!I26</f>
        <v>0</v>
      </c>
      <c r="AR26" s="175">
        <f>[42]Kalkulator!I26</f>
        <v>0</v>
      </c>
      <c r="AS26" s="176">
        <f t="shared" si="0"/>
        <v>0</v>
      </c>
    </row>
    <row r="27" spans="1:45">
      <c r="A27" s="86" t="s">
        <v>101</v>
      </c>
      <c r="B27" s="175">
        <f>[1]Kalkulator!I27</f>
        <v>0</v>
      </c>
      <c r="C27" s="175">
        <f>[2]Kalkulator!I27</f>
        <v>0</v>
      </c>
      <c r="D27" s="175">
        <f>[3]Kalkulator!I27</f>
        <v>0</v>
      </c>
      <c r="E27" s="175">
        <f>[4]Kalkulator!I27</f>
        <v>0</v>
      </c>
      <c r="F27" s="175">
        <f>[5]Kalkulator!I27</f>
        <v>0</v>
      </c>
      <c r="G27" s="175">
        <f>[6]Kalkulator!I27</f>
        <v>0</v>
      </c>
      <c r="H27" s="175">
        <f>[7]Kalkulator!I27</f>
        <v>0</v>
      </c>
      <c r="I27" s="175">
        <f>[8]Kalkulator!I27</f>
        <v>0</v>
      </c>
      <c r="J27" s="175">
        <f>[9]Kalkulator!I27</f>
        <v>36000</v>
      </c>
      <c r="K27" s="175">
        <f>[10]Kalkulator!L26</f>
        <v>0</v>
      </c>
      <c r="L27" s="175">
        <f>[11]Kalkulator!I27</f>
        <v>0</v>
      </c>
      <c r="M27" s="175">
        <f>[12]Kalkulator!I27</f>
        <v>80000</v>
      </c>
      <c r="N27" s="175">
        <f>[13]Kalkulator!I27</f>
        <v>90000</v>
      </c>
      <c r="O27" s="175">
        <f>[14]Kalkulator!I27</f>
        <v>0</v>
      </c>
      <c r="P27" s="175">
        <f>[15]Kalkulator!I27</f>
        <v>0</v>
      </c>
      <c r="Q27" s="175">
        <f>[16]Kalkulator!I27</f>
        <v>0</v>
      </c>
      <c r="R27" s="175">
        <f>[17]Kalkulator!I27</f>
        <v>0</v>
      </c>
      <c r="S27" s="175">
        <f>[18]Kalkulator!I27</f>
        <v>96250</v>
      </c>
      <c r="T27" s="175">
        <f>[19]Kalkulator!I27</f>
        <v>0</v>
      </c>
      <c r="U27" s="175">
        <f>[20]Kalkulator!I27</f>
        <v>0</v>
      </c>
      <c r="V27" s="175">
        <f>[21]Kalkulator!I27</f>
        <v>0</v>
      </c>
      <c r="W27" s="175">
        <f>[22]Kalkulator!I27</f>
        <v>0</v>
      </c>
      <c r="X27" s="175">
        <f>[23]Kalkulator!I27</f>
        <v>0</v>
      </c>
      <c r="Y27" s="175">
        <f>[24]Kalkulator!I27</f>
        <v>78000</v>
      </c>
      <c r="Z27" s="175">
        <f>[25]Kalkulator!I27</f>
        <v>0</v>
      </c>
      <c r="AB27" s="175">
        <f>[26]Kalkulator!I27</f>
        <v>0</v>
      </c>
      <c r="AC27" s="175">
        <f>[27]Kalkulator!I27</f>
        <v>0</v>
      </c>
      <c r="AD27" s="175">
        <f>[28]Kalkulator!I27</f>
        <v>0</v>
      </c>
      <c r="AE27" s="175">
        <f>[29]Kalkulator!I27</f>
        <v>0</v>
      </c>
      <c r="AF27" s="175">
        <f>[30]Kalkulator!L27</f>
        <v>6847.1644362287807</v>
      </c>
      <c r="AG27" s="175">
        <f>[31]Kalkulator!I27</f>
        <v>0</v>
      </c>
      <c r="AH27" s="175">
        <f>[32]Kalkulator!I27</f>
        <v>0</v>
      </c>
      <c r="AI27" s="175">
        <f>[33]Kalkulator!I27</f>
        <v>30000</v>
      </c>
      <c r="AJ27" s="175">
        <f>[34]Kalkulator!I27</f>
        <v>90000</v>
      </c>
      <c r="AK27" s="175">
        <f>[35]Kalkulator!I27</f>
        <v>0</v>
      </c>
      <c r="AL27" s="175">
        <f>[36]Kalkulator!I27</f>
        <v>0</v>
      </c>
      <c r="AM27" s="175">
        <f>[37]Kalkulator!I27</f>
        <v>0</v>
      </c>
      <c r="AN27" s="175">
        <f>[38]Kalkulator!I27</f>
        <v>0</v>
      </c>
      <c r="AO27" s="175">
        <f>[39]Kalkulator!I27</f>
        <v>0</v>
      </c>
      <c r="AP27" s="175">
        <f>[40]Kalkulator!I27</f>
        <v>0</v>
      </c>
      <c r="AQ27" s="175">
        <f>[41]Kalkulator!I27</f>
        <v>0</v>
      </c>
      <c r="AR27" s="175">
        <f>[42]Kalkulator!I27</f>
        <v>0</v>
      </c>
      <c r="AS27" s="176">
        <f t="shared" si="0"/>
        <v>507097.16443622881</v>
      </c>
    </row>
    <row r="28" spans="1:45">
      <c r="A28" s="30" t="s">
        <v>102</v>
      </c>
      <c r="B28" s="175">
        <f>[1]Kalkulator!I28</f>
        <v>0</v>
      </c>
      <c r="C28" s="175">
        <f>[2]Kalkulator!I28</f>
        <v>0</v>
      </c>
      <c r="D28" s="175">
        <f>[3]Kalkulator!I28</f>
        <v>0</v>
      </c>
      <c r="E28" s="175">
        <f>[4]Kalkulator!I28</f>
        <v>0</v>
      </c>
      <c r="F28" s="175">
        <f>[5]Kalkulator!I28</f>
        <v>0</v>
      </c>
      <c r="G28" s="175">
        <f>[6]Kalkulator!I28</f>
        <v>0</v>
      </c>
      <c r="H28" s="175">
        <f>[7]Kalkulator!I28</f>
        <v>4000</v>
      </c>
      <c r="I28" s="175">
        <f>[8]Kalkulator!I28</f>
        <v>0</v>
      </c>
      <c r="J28" s="175">
        <f>[9]Kalkulator!I28</f>
        <v>0</v>
      </c>
      <c r="K28" s="175">
        <f>[10]Kalkulator!L27</f>
        <v>0</v>
      </c>
      <c r="L28" s="175">
        <f>[11]Kalkulator!I28</f>
        <v>0</v>
      </c>
      <c r="M28" s="175">
        <f>[12]Kalkulator!I28</f>
        <v>0</v>
      </c>
      <c r="N28" s="175">
        <f>[13]Kalkulator!I28</f>
        <v>0</v>
      </c>
      <c r="O28" s="175">
        <f>[14]Kalkulator!I28</f>
        <v>0</v>
      </c>
      <c r="P28" s="175">
        <f>[15]Kalkulator!I28</f>
        <v>0</v>
      </c>
      <c r="Q28" s="175">
        <f>[16]Kalkulator!I28</f>
        <v>0</v>
      </c>
      <c r="R28" s="175">
        <f>[17]Kalkulator!I28</f>
        <v>0</v>
      </c>
      <c r="S28" s="175">
        <f>[18]Kalkulator!I28</f>
        <v>0</v>
      </c>
      <c r="T28" s="175">
        <f>[19]Kalkulator!I28</f>
        <v>0</v>
      </c>
      <c r="U28" s="175">
        <f>[20]Kalkulator!I28</f>
        <v>4000</v>
      </c>
      <c r="V28" s="175">
        <f>[21]Kalkulator!I28</f>
        <v>0</v>
      </c>
      <c r="W28" s="175">
        <f>[22]Kalkulator!I28</f>
        <v>0</v>
      </c>
      <c r="X28" s="175">
        <f>[23]Kalkulator!I28</f>
        <v>0</v>
      </c>
      <c r="Y28" s="175">
        <f>[24]Kalkulator!I28</f>
        <v>0</v>
      </c>
      <c r="Z28" s="175">
        <f>[25]Kalkulator!I28</f>
        <v>0</v>
      </c>
      <c r="AB28" s="175">
        <f>[26]Kalkulator!I28</f>
        <v>0</v>
      </c>
      <c r="AC28" s="175">
        <f>[27]Kalkulator!I28</f>
        <v>0</v>
      </c>
      <c r="AD28" s="175">
        <f>[28]Kalkulator!I28</f>
        <v>4000</v>
      </c>
      <c r="AE28" s="175">
        <f>[29]Kalkulator!I28</f>
        <v>0</v>
      </c>
      <c r="AF28" s="175">
        <f>[30]Kalkulator!L28</f>
        <v>0</v>
      </c>
      <c r="AG28" s="175">
        <f>[31]Kalkulator!I28</f>
        <v>0</v>
      </c>
      <c r="AH28" s="175">
        <f>[32]Kalkulator!I28</f>
        <v>0</v>
      </c>
      <c r="AI28" s="175">
        <f>[33]Kalkulator!I28</f>
        <v>0</v>
      </c>
      <c r="AJ28" s="175">
        <f>[34]Kalkulator!I28</f>
        <v>0</v>
      </c>
      <c r="AK28" s="175">
        <f>[35]Kalkulator!I28</f>
        <v>0</v>
      </c>
      <c r="AL28" s="175">
        <f>[36]Kalkulator!I28</f>
        <v>0</v>
      </c>
      <c r="AM28" s="175">
        <f>[37]Kalkulator!I28</f>
        <v>0</v>
      </c>
      <c r="AN28" s="175">
        <f>[38]Kalkulator!I28</f>
        <v>0</v>
      </c>
      <c r="AO28" s="175">
        <f>[39]Kalkulator!I28</f>
        <v>0</v>
      </c>
      <c r="AP28" s="175">
        <f>[40]Kalkulator!I28</f>
        <v>0</v>
      </c>
      <c r="AQ28" s="175">
        <f>[41]Kalkulator!I28</f>
        <v>0</v>
      </c>
      <c r="AR28" s="175">
        <f>[42]Kalkulator!I28</f>
        <v>0</v>
      </c>
      <c r="AS28" s="176">
        <f t="shared" si="0"/>
        <v>12000</v>
      </c>
    </row>
    <row r="29" spans="1:45">
      <c r="A29" s="30" t="s">
        <v>103</v>
      </c>
      <c r="B29" s="175">
        <f>[1]Kalkulator!I29</f>
        <v>0</v>
      </c>
      <c r="C29" s="175">
        <f>[2]Kalkulator!I29</f>
        <v>0</v>
      </c>
      <c r="D29" s="175">
        <f>[3]Kalkulator!I29</f>
        <v>0</v>
      </c>
      <c r="E29" s="175">
        <f>[4]Kalkulator!I29</f>
        <v>0</v>
      </c>
      <c r="F29" s="175">
        <f>[5]Kalkulator!I29</f>
        <v>0</v>
      </c>
      <c r="G29" s="175">
        <f>[6]Kalkulator!I29</f>
        <v>0</v>
      </c>
      <c r="H29" s="175">
        <f>[7]Kalkulator!I29</f>
        <v>7000</v>
      </c>
      <c r="I29" s="175">
        <f>[8]Kalkulator!I29</f>
        <v>10276</v>
      </c>
      <c r="J29" s="175">
        <f>[9]Kalkulator!I29</f>
        <v>0</v>
      </c>
      <c r="K29" s="175">
        <f>[10]Kalkulator!L28</f>
        <v>0</v>
      </c>
      <c r="L29" s="175">
        <f>[11]Kalkulator!I29</f>
        <v>0</v>
      </c>
      <c r="M29" s="175">
        <f>[12]Kalkulator!I29</f>
        <v>0</v>
      </c>
      <c r="N29" s="175">
        <f>[13]Kalkulator!I29</f>
        <v>0</v>
      </c>
      <c r="O29" s="175">
        <f>[14]Kalkulator!I29</f>
        <v>0</v>
      </c>
      <c r="P29" s="175">
        <f>[15]Kalkulator!I29</f>
        <v>0</v>
      </c>
      <c r="Q29" s="175">
        <f>[16]Kalkulator!I29</f>
        <v>0</v>
      </c>
      <c r="R29" s="175">
        <f>[17]Kalkulator!I29</f>
        <v>0</v>
      </c>
      <c r="S29" s="175">
        <f>[18]Kalkulator!I29</f>
        <v>0</v>
      </c>
      <c r="T29" s="175">
        <f>[19]Kalkulator!I29</f>
        <v>0</v>
      </c>
      <c r="U29" s="175">
        <f>[20]Kalkulator!I29</f>
        <v>0</v>
      </c>
      <c r="V29" s="175">
        <f>[21]Kalkulator!I29</f>
        <v>0</v>
      </c>
      <c r="W29" s="175">
        <f>[22]Kalkulator!I29</f>
        <v>0</v>
      </c>
      <c r="X29" s="175">
        <f>[23]Kalkulator!I29</f>
        <v>0</v>
      </c>
      <c r="Y29" s="175">
        <f>[24]Kalkulator!I29</f>
        <v>0</v>
      </c>
      <c r="Z29" s="175">
        <f>[25]Kalkulator!I29</f>
        <v>0</v>
      </c>
      <c r="AB29" s="175">
        <f>[26]Kalkulator!I29</f>
        <v>0</v>
      </c>
      <c r="AC29" s="175">
        <f>[27]Kalkulator!$K$29</f>
        <v>39000</v>
      </c>
      <c r="AD29" s="175">
        <f>[28]Kalkulator!I29</f>
        <v>0</v>
      </c>
      <c r="AE29" s="175">
        <f>[29]Kalkulator!I29</f>
        <v>0</v>
      </c>
      <c r="AF29" s="175">
        <f>[30]Kalkulator!L29</f>
        <v>0</v>
      </c>
      <c r="AG29" s="175">
        <f>[31]Kalkulator!I29</f>
        <v>0</v>
      </c>
      <c r="AH29" s="175">
        <f>[32]Kalkulator!I29</f>
        <v>0</v>
      </c>
      <c r="AI29" s="175">
        <f>[33]Kalkulator!I29</f>
        <v>0</v>
      </c>
      <c r="AJ29" s="175">
        <f>[34]Kalkulator!I29</f>
        <v>0</v>
      </c>
      <c r="AK29" s="175">
        <f>[35]Kalkulator!I29</f>
        <v>0</v>
      </c>
      <c r="AL29" s="175">
        <f>[36]Kalkulator!I29</f>
        <v>0</v>
      </c>
      <c r="AM29" s="175">
        <f>[37]Kalkulator!I29</f>
        <v>0</v>
      </c>
      <c r="AN29" s="175">
        <f>[38]Kalkulator!I29</f>
        <v>0</v>
      </c>
      <c r="AO29" s="175">
        <f>[39]Kalkulator!I29</f>
        <v>0</v>
      </c>
      <c r="AP29" s="175">
        <f>[40]Kalkulator!I29</f>
        <v>0</v>
      </c>
      <c r="AQ29" s="175">
        <f>[41]Kalkulator!I29</f>
        <v>0</v>
      </c>
      <c r="AR29" s="175">
        <f>[42]Kalkulator!I29</f>
        <v>0</v>
      </c>
      <c r="AS29" s="176">
        <f t="shared" si="0"/>
        <v>56276</v>
      </c>
    </row>
    <row r="30" spans="1:45">
      <c r="A30" s="86" t="s">
        <v>104</v>
      </c>
      <c r="B30" s="175">
        <f>[1]Kalkulator!I30</f>
        <v>0</v>
      </c>
      <c r="C30" s="175">
        <f>[2]Kalkulator!I30</f>
        <v>29000</v>
      </c>
      <c r="D30" s="175">
        <f>[3]Kalkulator!I30</f>
        <v>29000</v>
      </c>
      <c r="E30" s="175">
        <f>[4]Kalkulator!I30</f>
        <v>0</v>
      </c>
      <c r="F30" s="175">
        <f>[5]Kalkulator!I30</f>
        <v>0</v>
      </c>
      <c r="G30" s="175">
        <f>[6]Kalkulator!I30</f>
        <v>0</v>
      </c>
      <c r="H30" s="175">
        <f>[7]Kalkulator!I30</f>
        <v>0</v>
      </c>
      <c r="I30" s="175">
        <f>[8]Kalkulator!I30</f>
        <v>0</v>
      </c>
      <c r="J30" s="175">
        <f>[9]Kalkulator!I30</f>
        <v>29000</v>
      </c>
      <c r="K30" s="175">
        <f>[10]Kalkulator!L29</f>
        <v>0</v>
      </c>
      <c r="L30" s="175">
        <f>[11]Kalkulator!I30</f>
        <v>0</v>
      </c>
      <c r="M30" s="175">
        <f>[12]Kalkulator!I30</f>
        <v>29000</v>
      </c>
      <c r="N30" s="175">
        <f>[13]Kalkulator!I30</f>
        <v>29000</v>
      </c>
      <c r="O30" s="175">
        <f>[14]Kalkulator!I30</f>
        <v>0</v>
      </c>
      <c r="P30" s="175">
        <f>[15]Kalkulator!I30</f>
        <v>29000</v>
      </c>
      <c r="Q30" s="175">
        <f>[16]Kalkulator!I30</f>
        <v>0</v>
      </c>
      <c r="R30" s="175">
        <f>[17]Kalkulator!I30</f>
        <v>0</v>
      </c>
      <c r="S30" s="175">
        <f>[18]Kalkulator!I30</f>
        <v>0</v>
      </c>
      <c r="T30" s="175">
        <f>[19]Kalkulator!I30</f>
        <v>0</v>
      </c>
      <c r="U30" s="175">
        <f>[20]Kalkulator!I30</f>
        <v>0</v>
      </c>
      <c r="V30" s="175">
        <f>[21]Kalkulator!I30</f>
        <v>29000</v>
      </c>
      <c r="W30" s="175">
        <f>[22]Kalkulator!I30</f>
        <v>0</v>
      </c>
      <c r="X30" s="175">
        <f>[23]Kalkulator!I30</f>
        <v>0</v>
      </c>
      <c r="Y30" s="175">
        <f>[24]Kalkulator!I30</f>
        <v>29000</v>
      </c>
      <c r="Z30" s="175">
        <f>[25]Kalkulator!I30</f>
        <v>6500</v>
      </c>
      <c r="AB30" s="175">
        <f>[26]Kalkulator!I30</f>
        <v>29000</v>
      </c>
      <c r="AC30" s="175">
        <f>[27]Kalkulator!I30</f>
        <v>0</v>
      </c>
      <c r="AD30" s="175">
        <f>[28]Kalkulator!I30</f>
        <v>0</v>
      </c>
      <c r="AE30" s="175">
        <f>[29]Kalkulator!I30</f>
        <v>0</v>
      </c>
      <c r="AF30" s="175">
        <f>[30]Kalkulator!L30</f>
        <v>0</v>
      </c>
      <c r="AG30" s="175">
        <f>[31]Kalkulator!I30</f>
        <v>0</v>
      </c>
      <c r="AH30" s="175">
        <f>[32]Kalkulator!I30</f>
        <v>29000</v>
      </c>
      <c r="AI30" s="175">
        <f>[33]Kalkulator!I30</f>
        <v>0</v>
      </c>
      <c r="AJ30" s="175">
        <f>[34]Kalkulator!I30</f>
        <v>29000</v>
      </c>
      <c r="AK30" s="175">
        <f>[35]Kalkulator!I30</f>
        <v>29000</v>
      </c>
      <c r="AL30" s="175">
        <f>[36]Kalkulator!I30</f>
        <v>29000</v>
      </c>
      <c r="AM30" s="175">
        <f>[37]Kalkulator!I30</f>
        <v>29000</v>
      </c>
      <c r="AN30" s="175">
        <f>[38]Kalkulator!I30</f>
        <v>0</v>
      </c>
      <c r="AO30" s="175">
        <f>[39]Kalkulator!I30</f>
        <v>29000</v>
      </c>
      <c r="AP30" s="175">
        <f>[40]Kalkulator!I30</f>
        <v>0</v>
      </c>
      <c r="AQ30" s="175">
        <f>[41]Kalkulator!I30</f>
        <v>29000</v>
      </c>
      <c r="AR30" s="175">
        <f>[42]Kalkulator!I30</f>
        <v>0</v>
      </c>
      <c r="AS30" s="176">
        <f t="shared" si="0"/>
        <v>470500</v>
      </c>
    </row>
    <row r="31" spans="1:45" ht="4.5" customHeight="1">
      <c r="A31" s="29"/>
      <c r="B31" s="175">
        <f>[1]Kalkulator!I31</f>
        <v>0</v>
      </c>
      <c r="C31" s="175">
        <f>[2]Kalkulator!I31</f>
        <v>0</v>
      </c>
      <c r="D31" s="175">
        <f>[3]Kalkulator!I31</f>
        <v>0</v>
      </c>
      <c r="E31" s="175">
        <f>[4]Kalkulator!I31</f>
        <v>0</v>
      </c>
      <c r="F31" s="175">
        <f>[5]Kalkulator!I31</f>
        <v>0</v>
      </c>
      <c r="G31" s="175">
        <f>[6]Kalkulator!I31</f>
        <v>0</v>
      </c>
      <c r="H31" s="175">
        <f>[7]Kalkulator!I31</f>
        <v>0</v>
      </c>
      <c r="I31" s="175">
        <f>[8]Kalkulator!I31</f>
        <v>0</v>
      </c>
      <c r="J31" s="175">
        <f>[9]Kalkulator!I31</f>
        <v>0</v>
      </c>
      <c r="K31" s="175">
        <f>[10]Kalkulator!L30</f>
        <v>0</v>
      </c>
      <c r="L31" s="175">
        <f>[11]Kalkulator!I31</f>
        <v>0</v>
      </c>
      <c r="M31" s="175">
        <f>[12]Kalkulator!I31</f>
        <v>0</v>
      </c>
      <c r="N31" s="175">
        <f>[13]Kalkulator!I31</f>
        <v>0</v>
      </c>
      <c r="O31" s="175">
        <f>[14]Kalkulator!I31</f>
        <v>0</v>
      </c>
      <c r="P31" s="175">
        <f>[15]Kalkulator!I31</f>
        <v>0</v>
      </c>
      <c r="Q31" s="175">
        <f>[16]Kalkulator!I31</f>
        <v>0</v>
      </c>
      <c r="R31" s="175">
        <f>[17]Kalkulator!I31</f>
        <v>0</v>
      </c>
      <c r="S31" s="175">
        <f>[18]Kalkulator!I31</f>
        <v>0</v>
      </c>
      <c r="T31" s="175">
        <f>[19]Kalkulator!I31</f>
        <v>0</v>
      </c>
      <c r="U31" s="175">
        <f>[20]Kalkulator!I31</f>
        <v>0</v>
      </c>
      <c r="V31" s="175">
        <f>[21]Kalkulator!I31</f>
        <v>0</v>
      </c>
      <c r="W31" s="175">
        <f>[22]Kalkulator!I31</f>
        <v>0</v>
      </c>
      <c r="X31" s="175">
        <f>[23]Kalkulator!I31</f>
        <v>0</v>
      </c>
      <c r="Y31" s="175">
        <f>[24]Kalkulator!I31</f>
        <v>0</v>
      </c>
      <c r="Z31" s="175">
        <f>[25]Kalkulator!I31</f>
        <v>0</v>
      </c>
      <c r="AB31" s="175">
        <f>[26]Kalkulator!I31</f>
        <v>0</v>
      </c>
      <c r="AC31" s="175">
        <f>[27]Kalkulator!I31</f>
        <v>0</v>
      </c>
      <c r="AD31" s="175">
        <f>[28]Kalkulator!I31</f>
        <v>0</v>
      </c>
      <c r="AE31" s="175">
        <f>[29]Kalkulator!I31</f>
        <v>0</v>
      </c>
      <c r="AF31" s="175">
        <f>[30]Kalkulator!L31</f>
        <v>0</v>
      </c>
      <c r="AG31" s="175">
        <f>[31]Kalkulator!I31</f>
        <v>0</v>
      </c>
      <c r="AH31" s="175">
        <f>[32]Kalkulator!I31</f>
        <v>0</v>
      </c>
      <c r="AI31" s="175">
        <f>[33]Kalkulator!I31</f>
        <v>0</v>
      </c>
      <c r="AJ31" s="175">
        <f>[34]Kalkulator!I31</f>
        <v>0</v>
      </c>
      <c r="AK31" s="175">
        <f>[35]Kalkulator!I31</f>
        <v>0</v>
      </c>
      <c r="AL31" s="175">
        <f>[36]Kalkulator!I31</f>
        <v>0</v>
      </c>
      <c r="AM31" s="175">
        <f>[37]Kalkulator!I31</f>
        <v>0</v>
      </c>
      <c r="AN31" s="175">
        <f>[38]Kalkulator!I31</f>
        <v>0</v>
      </c>
      <c r="AO31" s="175">
        <f>[39]Kalkulator!I31</f>
        <v>0</v>
      </c>
      <c r="AP31" s="175">
        <f>[40]Kalkulator!I31</f>
        <v>0</v>
      </c>
      <c r="AQ31" s="175">
        <f>[41]Kalkulator!I31</f>
        <v>0</v>
      </c>
      <c r="AR31" s="175">
        <f>[42]Kalkulator!I31</f>
        <v>0</v>
      </c>
      <c r="AS31" s="176">
        <f t="shared" si="0"/>
        <v>0</v>
      </c>
    </row>
    <row r="32" spans="1:45">
      <c r="A32" s="31" t="s">
        <v>144</v>
      </c>
      <c r="B32" s="175">
        <f>[1]Kalkulator!I32</f>
        <v>0</v>
      </c>
      <c r="C32" s="175">
        <f>[2]Kalkulator!I32</f>
        <v>0</v>
      </c>
      <c r="D32" s="175">
        <f>[3]Kalkulator!I32</f>
        <v>0</v>
      </c>
      <c r="E32" s="175">
        <f>[4]Kalkulator!I32</f>
        <v>0</v>
      </c>
      <c r="F32" s="175">
        <f>[5]Kalkulator!I32</f>
        <v>0</v>
      </c>
      <c r="G32" s="175">
        <f>[6]Kalkulator!I32</f>
        <v>-17500</v>
      </c>
      <c r="H32" s="175">
        <f>[7]Kalkulator!I32</f>
        <v>0</v>
      </c>
      <c r="I32" s="175">
        <f>[8]Kalkulator!I32</f>
        <v>0</v>
      </c>
      <c r="J32" s="175">
        <f>[9]Kalkulator!I32</f>
        <v>0</v>
      </c>
      <c r="K32" s="175">
        <f>[10]Kalkulator!L31</f>
        <v>0</v>
      </c>
      <c r="L32" s="175">
        <f>[11]Kalkulator!I32</f>
        <v>0</v>
      </c>
      <c r="M32" s="175">
        <f>-[12]Kalkulator!I32</f>
        <v>-312000</v>
      </c>
      <c r="N32" s="175">
        <f>[13]Kalkulator!I32</f>
        <v>0</v>
      </c>
      <c r="O32" s="175">
        <f>[14]Kalkulator!I32</f>
        <v>0</v>
      </c>
      <c r="P32" s="175">
        <f>[15]Kalkulator!I32</f>
        <v>0</v>
      </c>
      <c r="Q32" s="175">
        <f>[16]Kalkulator!I32</f>
        <v>0</v>
      </c>
      <c r="R32" s="175">
        <f>-[17]Kalkulator!I32</f>
        <v>-322400</v>
      </c>
      <c r="S32" s="175">
        <f>[18]Kalkulator!I32</f>
        <v>0</v>
      </c>
      <c r="T32" s="175">
        <f>[19]Kalkulator!I32</f>
        <v>0</v>
      </c>
      <c r="U32" s="175">
        <f>[20]Kalkulator!I32</f>
        <v>0</v>
      </c>
      <c r="V32" s="175">
        <f>[21]Kalkulator!I32</f>
        <v>0</v>
      </c>
      <c r="W32" s="175">
        <f>[22]Kalkulator!I32</f>
        <v>0</v>
      </c>
      <c r="X32" s="175">
        <f>[23]Kalkulator!I32</f>
        <v>0</v>
      </c>
      <c r="Y32" s="175">
        <f>[24]Kalkulator!I32</f>
        <v>0</v>
      </c>
      <c r="Z32" s="175">
        <f>[25]Kalkulator!I32</f>
        <v>0</v>
      </c>
      <c r="AB32" s="175">
        <f>[26]Kalkulator!I32</f>
        <v>0</v>
      </c>
      <c r="AC32" s="175">
        <f>[27]Kalkulator!I32</f>
        <v>0</v>
      </c>
      <c r="AD32" s="175">
        <f>[28]Kalkulator!I32</f>
        <v>0</v>
      </c>
      <c r="AE32" s="175">
        <f>[29]Kalkulator!I32</f>
        <v>0</v>
      </c>
      <c r="AF32" s="175">
        <f>[30]Kalkulator!L32</f>
        <v>0</v>
      </c>
      <c r="AG32" s="175">
        <f>[31]Kalkulator!I32</f>
        <v>0</v>
      </c>
      <c r="AH32" s="175">
        <f>[32]Kalkulator!I32</f>
        <v>0</v>
      </c>
      <c r="AI32" s="175">
        <f>[33]Kalkulator!I32</f>
        <v>0</v>
      </c>
      <c r="AJ32" s="175">
        <f>-[34]Kalkulator!I32</f>
        <v>-89600</v>
      </c>
      <c r="AK32" s="175">
        <f>[35]Kalkulator!I32</f>
        <v>0</v>
      </c>
      <c r="AL32" s="175">
        <f>[36]Kalkulator!I32</f>
        <v>0</v>
      </c>
      <c r="AM32" s="175">
        <f>[37]Kalkulator!I32</f>
        <v>0</v>
      </c>
      <c r="AN32" s="175">
        <f>[38]Kalkulator!I32</f>
        <v>0</v>
      </c>
      <c r="AO32" s="175">
        <f>[39]Kalkulator!I32</f>
        <v>0</v>
      </c>
      <c r="AP32" s="175">
        <f>[40]Kalkulator!I32</f>
        <v>0</v>
      </c>
      <c r="AQ32" s="175">
        <f>[41]Kalkulator!I32</f>
        <v>0</v>
      </c>
      <c r="AR32" s="175">
        <f>[42]Kalkulator!I32</f>
        <v>0</v>
      </c>
      <c r="AS32" s="176">
        <f t="shared" si="0"/>
        <v>-741500</v>
      </c>
    </row>
    <row r="33" spans="1:45" ht="4.5" customHeight="1">
      <c r="A33" s="32"/>
      <c r="B33" s="175">
        <f>[1]Kalkulator!I33</f>
        <v>0</v>
      </c>
      <c r="C33" s="175">
        <f>[2]Kalkulator!I33</f>
        <v>0</v>
      </c>
      <c r="D33" s="175">
        <f>[3]Kalkulator!I33</f>
        <v>0</v>
      </c>
      <c r="E33" s="175">
        <f>[4]Kalkulator!I33</f>
        <v>0</v>
      </c>
      <c r="F33" s="175">
        <f>[5]Kalkulator!I33</f>
        <v>0</v>
      </c>
      <c r="G33" s="175">
        <f>[6]Kalkulator!I33</f>
        <v>0</v>
      </c>
      <c r="H33" s="175">
        <f>[7]Kalkulator!I33</f>
        <v>0</v>
      </c>
      <c r="I33" s="175">
        <f>[8]Kalkulator!I33</f>
        <v>0</v>
      </c>
      <c r="J33" s="175">
        <f>[9]Kalkulator!I33</f>
        <v>0</v>
      </c>
      <c r="K33" s="175">
        <f>[10]Kalkulator!L32</f>
        <v>0</v>
      </c>
      <c r="L33" s="175">
        <f>[11]Kalkulator!I33</f>
        <v>0</v>
      </c>
      <c r="M33" s="175">
        <f>[12]Kalkulator!I33</f>
        <v>0</v>
      </c>
      <c r="N33" s="175">
        <f>[13]Kalkulator!I33</f>
        <v>0</v>
      </c>
      <c r="O33" s="175">
        <f>[14]Kalkulator!I33</f>
        <v>0</v>
      </c>
      <c r="P33" s="175">
        <f>[15]Kalkulator!I33</f>
        <v>0</v>
      </c>
      <c r="Q33" s="175">
        <f>[16]Kalkulator!I33</f>
        <v>0</v>
      </c>
      <c r="R33" s="175">
        <f>[17]Kalkulator!I33</f>
        <v>0</v>
      </c>
      <c r="S33" s="175">
        <f>[18]Kalkulator!I33</f>
        <v>0</v>
      </c>
      <c r="T33" s="175">
        <f>[19]Kalkulator!I33</f>
        <v>0</v>
      </c>
      <c r="U33" s="175">
        <f>[20]Kalkulator!I33</f>
        <v>0</v>
      </c>
      <c r="V33" s="175">
        <f>[21]Kalkulator!I33</f>
        <v>0</v>
      </c>
      <c r="W33" s="175">
        <f>[22]Kalkulator!I33</f>
        <v>0</v>
      </c>
      <c r="X33" s="175">
        <f>[23]Kalkulator!I33</f>
        <v>0</v>
      </c>
      <c r="Y33" s="175">
        <f>[24]Kalkulator!I33</f>
        <v>0</v>
      </c>
      <c r="Z33" s="175">
        <f>[25]Kalkulator!I33</f>
        <v>0</v>
      </c>
      <c r="AB33" s="175">
        <f>[26]Kalkulator!I33</f>
        <v>0</v>
      </c>
      <c r="AC33" s="175">
        <f>[27]Kalkulator!I33</f>
        <v>0</v>
      </c>
      <c r="AD33" s="175">
        <f>[28]Kalkulator!I33</f>
        <v>0</v>
      </c>
      <c r="AE33" s="175">
        <f>[29]Kalkulator!I33</f>
        <v>0</v>
      </c>
      <c r="AF33" s="175">
        <f>[30]Kalkulator!L33</f>
        <v>0</v>
      </c>
      <c r="AG33" s="175">
        <f>[31]Kalkulator!I33</f>
        <v>0</v>
      </c>
      <c r="AH33" s="175">
        <f>[32]Kalkulator!I33</f>
        <v>0</v>
      </c>
      <c r="AI33" s="175">
        <f>[33]Kalkulator!I33</f>
        <v>0</v>
      </c>
      <c r="AJ33" s="175">
        <f>[34]Kalkulator!I33</f>
        <v>0</v>
      </c>
      <c r="AK33" s="175">
        <f>[35]Kalkulator!I33</f>
        <v>0</v>
      </c>
      <c r="AL33" s="175">
        <f>[36]Kalkulator!I33</f>
        <v>0</v>
      </c>
      <c r="AM33" s="175">
        <f>[37]Kalkulator!I33</f>
        <v>0</v>
      </c>
      <c r="AN33" s="175">
        <f>[38]Kalkulator!I33</f>
        <v>0</v>
      </c>
      <c r="AO33" s="175">
        <f>[39]Kalkulator!I33</f>
        <v>0</v>
      </c>
      <c r="AP33" s="175">
        <f>[40]Kalkulator!I33</f>
        <v>0</v>
      </c>
      <c r="AQ33" s="175">
        <f>[41]Kalkulator!I33</f>
        <v>0</v>
      </c>
      <c r="AR33" s="175">
        <f>[42]Kalkulator!I33</f>
        <v>0</v>
      </c>
      <c r="AS33" s="176">
        <f t="shared" si="0"/>
        <v>0</v>
      </c>
    </row>
    <row r="34" spans="1:45">
      <c r="A34" s="33" t="s">
        <v>63</v>
      </c>
      <c r="B34" s="175">
        <f>[1]Kalkulator!I34</f>
        <v>0</v>
      </c>
      <c r="C34" s="175">
        <f>[2]Kalkulator!I34</f>
        <v>0</v>
      </c>
      <c r="D34" s="175">
        <f>[3]Kalkulator!I34</f>
        <v>0</v>
      </c>
      <c r="E34" s="175">
        <f>[4]Kalkulator!I34</f>
        <v>0</v>
      </c>
      <c r="F34" s="175">
        <f>[5]Kalkulator!I34</f>
        <v>0</v>
      </c>
      <c r="G34" s="175">
        <f>[6]Kalkulator!I34</f>
        <v>0</v>
      </c>
      <c r="H34" s="175">
        <f>[7]Kalkulator!I34</f>
        <v>0</v>
      </c>
      <c r="I34" s="175">
        <f>[8]Kalkulator!I34</f>
        <v>0</v>
      </c>
      <c r="J34" s="175">
        <f>[9]Kalkulator!I34</f>
        <v>0</v>
      </c>
      <c r="K34" s="175">
        <f>[10]Kalkulator!L33</f>
        <v>0</v>
      </c>
      <c r="L34" s="175">
        <f>[11]Kalkulator!I34</f>
        <v>0</v>
      </c>
      <c r="M34" s="175">
        <f>[12]Kalkulator!I34</f>
        <v>0</v>
      </c>
      <c r="N34" s="175">
        <f>[13]Kalkulator!I34</f>
        <v>0</v>
      </c>
      <c r="O34" s="175">
        <f>[14]Kalkulator!I34</f>
        <v>0</v>
      </c>
      <c r="P34" s="175">
        <f>[15]Kalkulator!I34</f>
        <v>0</v>
      </c>
      <c r="Q34" s="175">
        <f>[16]Kalkulator!I34</f>
        <v>0</v>
      </c>
      <c r="R34" s="175">
        <f>[17]Kalkulator!I34</f>
        <v>0</v>
      </c>
      <c r="S34" s="175">
        <f>[18]Kalkulator!I34</f>
        <v>0</v>
      </c>
      <c r="T34" s="175">
        <f>[19]Kalkulator!I34</f>
        <v>0</v>
      </c>
      <c r="U34" s="175">
        <f>[20]Kalkulator!I34</f>
        <v>0</v>
      </c>
      <c r="V34" s="175">
        <f>[21]Kalkulator!I34</f>
        <v>0</v>
      </c>
      <c r="W34" s="175">
        <f>[22]Kalkulator!I34</f>
        <v>0</v>
      </c>
      <c r="X34" s="175">
        <f>[23]Kalkulator!I34</f>
        <v>0</v>
      </c>
      <c r="Y34" s="175">
        <f>[24]Kalkulator!I34</f>
        <v>0</v>
      </c>
      <c r="Z34" s="175">
        <f>[25]Kalkulator!I34</f>
        <v>0</v>
      </c>
      <c r="AB34" s="175">
        <f>[26]Kalkulator!I34</f>
        <v>0</v>
      </c>
      <c r="AC34" s="175">
        <f>[27]Kalkulator!I34</f>
        <v>0</v>
      </c>
      <c r="AD34" s="175">
        <f>[28]Kalkulator!I34</f>
        <v>0</v>
      </c>
      <c r="AE34" s="175">
        <f>[29]Kalkulator!I34</f>
        <v>0</v>
      </c>
      <c r="AF34" s="175">
        <f>[30]Kalkulator!L34</f>
        <v>0</v>
      </c>
      <c r="AG34" s="175">
        <f>[31]Kalkulator!I34</f>
        <v>0</v>
      </c>
      <c r="AH34" s="175">
        <f>[32]Kalkulator!I34</f>
        <v>0</v>
      </c>
      <c r="AI34" s="175">
        <f>[33]Kalkulator!I34</f>
        <v>0</v>
      </c>
      <c r="AJ34" s="175">
        <f>[34]Kalkulator!I34</f>
        <v>0</v>
      </c>
      <c r="AK34" s="175">
        <f>[35]Kalkulator!I34</f>
        <v>0</v>
      </c>
      <c r="AL34" s="175">
        <f>[36]Kalkulator!I34</f>
        <v>0</v>
      </c>
      <c r="AM34" s="175">
        <f>[37]Kalkulator!I34</f>
        <v>0</v>
      </c>
      <c r="AN34" s="175">
        <f>[38]Kalkulator!I34</f>
        <v>0</v>
      </c>
      <c r="AO34" s="175">
        <f>[39]Kalkulator!I34</f>
        <v>0</v>
      </c>
      <c r="AP34" s="175">
        <f>[40]Kalkulator!I34</f>
        <v>0</v>
      </c>
      <c r="AQ34" s="175">
        <f>[41]Kalkulator!I34</f>
        <v>0</v>
      </c>
      <c r="AR34" s="175">
        <f>[42]Kalkulator!I34</f>
        <v>0</v>
      </c>
      <c r="AS34" s="176">
        <f t="shared" si="0"/>
        <v>0</v>
      </c>
    </row>
    <row r="35" spans="1:45" ht="4.5" customHeight="1">
      <c r="A35" s="30"/>
      <c r="B35" s="175">
        <f>[1]Kalkulator!I35</f>
        <v>0</v>
      </c>
      <c r="C35" s="175">
        <f>[2]Kalkulator!I35</f>
        <v>0</v>
      </c>
      <c r="D35" s="175">
        <f>[3]Kalkulator!I35</f>
        <v>0</v>
      </c>
      <c r="E35" s="175">
        <f>[4]Kalkulator!I35</f>
        <v>0</v>
      </c>
      <c r="F35" s="175">
        <f>[5]Kalkulator!I35</f>
        <v>0</v>
      </c>
      <c r="G35" s="175">
        <f>[6]Kalkulator!I35</f>
        <v>0</v>
      </c>
      <c r="H35" s="175">
        <f>[7]Kalkulator!I35</f>
        <v>0</v>
      </c>
      <c r="I35" s="175">
        <f>[8]Kalkulator!I35</f>
        <v>0</v>
      </c>
      <c r="J35" s="175">
        <f>[9]Kalkulator!I35</f>
        <v>0</v>
      </c>
      <c r="K35" s="175">
        <f>[10]Kalkulator!L34</f>
        <v>0</v>
      </c>
      <c r="L35" s="175">
        <f>[11]Kalkulator!I35</f>
        <v>0</v>
      </c>
      <c r="M35" s="175">
        <f>[12]Kalkulator!I35</f>
        <v>0</v>
      </c>
      <c r="N35" s="175">
        <f>[13]Kalkulator!I35</f>
        <v>0</v>
      </c>
      <c r="O35" s="175">
        <f>[14]Kalkulator!I35</f>
        <v>0</v>
      </c>
      <c r="P35" s="175">
        <f>[15]Kalkulator!I35</f>
        <v>0</v>
      </c>
      <c r="Q35" s="175">
        <f>[16]Kalkulator!I35</f>
        <v>0</v>
      </c>
      <c r="R35" s="175">
        <f>[17]Kalkulator!I35</f>
        <v>0</v>
      </c>
      <c r="S35" s="175">
        <f>[18]Kalkulator!I35</f>
        <v>0</v>
      </c>
      <c r="T35" s="175">
        <f>[19]Kalkulator!I35</f>
        <v>0</v>
      </c>
      <c r="U35" s="175">
        <f>[20]Kalkulator!I35</f>
        <v>0</v>
      </c>
      <c r="V35" s="175">
        <f>[21]Kalkulator!I35</f>
        <v>0</v>
      </c>
      <c r="W35" s="175">
        <f>[22]Kalkulator!I35</f>
        <v>0</v>
      </c>
      <c r="X35" s="175">
        <f>[23]Kalkulator!I35</f>
        <v>0</v>
      </c>
      <c r="Y35" s="175">
        <f>[24]Kalkulator!I35</f>
        <v>0</v>
      </c>
      <c r="Z35" s="175">
        <f>[25]Kalkulator!I35</f>
        <v>0</v>
      </c>
      <c r="AB35" s="175">
        <f>[26]Kalkulator!I35</f>
        <v>0</v>
      </c>
      <c r="AC35" s="175">
        <f>[27]Kalkulator!I35</f>
        <v>0</v>
      </c>
      <c r="AD35" s="175">
        <f>[28]Kalkulator!I35</f>
        <v>0</v>
      </c>
      <c r="AE35" s="175">
        <f>[29]Kalkulator!I35</f>
        <v>0</v>
      </c>
      <c r="AF35" s="175">
        <f>[30]Kalkulator!L35</f>
        <v>0</v>
      </c>
      <c r="AG35" s="175">
        <f>[31]Kalkulator!I35</f>
        <v>0</v>
      </c>
      <c r="AH35" s="175">
        <f>[32]Kalkulator!I35</f>
        <v>0</v>
      </c>
      <c r="AI35" s="175">
        <f>[33]Kalkulator!I35</f>
        <v>0</v>
      </c>
      <c r="AJ35" s="175">
        <f>[34]Kalkulator!I35</f>
        <v>0</v>
      </c>
      <c r="AK35" s="175">
        <f>[35]Kalkulator!I35</f>
        <v>0</v>
      </c>
      <c r="AL35" s="175">
        <f>[36]Kalkulator!I35</f>
        <v>0</v>
      </c>
      <c r="AM35" s="175">
        <f>[37]Kalkulator!I35</f>
        <v>0</v>
      </c>
      <c r="AN35" s="175">
        <f>[38]Kalkulator!I35</f>
        <v>0</v>
      </c>
      <c r="AO35" s="175">
        <f>[39]Kalkulator!I35</f>
        <v>0</v>
      </c>
      <c r="AP35" s="175">
        <f>[40]Kalkulator!I35</f>
        <v>0</v>
      </c>
      <c r="AQ35" s="175">
        <f>[41]Kalkulator!I35</f>
        <v>0</v>
      </c>
      <c r="AR35" s="175">
        <f>[42]Kalkulator!I35</f>
        <v>0</v>
      </c>
      <c r="AS35" s="176">
        <f t="shared" si="0"/>
        <v>0</v>
      </c>
    </row>
    <row r="36" spans="1:45" s="34" customFormat="1" ht="13.5" customHeight="1">
      <c r="A36" s="33" t="s">
        <v>107</v>
      </c>
      <c r="B36" s="175">
        <f>[1]Kalkulator!I36</f>
        <v>0</v>
      </c>
      <c r="C36" s="175">
        <f>[2]Kalkulator!I36</f>
        <v>0</v>
      </c>
      <c r="D36" s="175">
        <f>[3]Kalkulator!I36</f>
        <v>0</v>
      </c>
      <c r="E36" s="175">
        <f>[4]Kalkulator!I36</f>
        <v>0</v>
      </c>
      <c r="F36" s="175">
        <f>[5]Kalkulator!I36</f>
        <v>0</v>
      </c>
      <c r="G36" s="175">
        <f>[6]Kalkulator!I36</f>
        <v>0</v>
      </c>
      <c r="H36" s="175">
        <f>[7]Kalkulator!I36</f>
        <v>0</v>
      </c>
      <c r="I36" s="175">
        <f>[8]Kalkulator!I36</f>
        <v>0</v>
      </c>
      <c r="J36" s="175">
        <f>[9]Kalkulator!I36</f>
        <v>0</v>
      </c>
      <c r="K36" s="175">
        <f>[10]Kalkulator!L35</f>
        <v>0</v>
      </c>
      <c r="L36" s="175">
        <f>[11]Kalkulator!I36</f>
        <v>0</v>
      </c>
      <c r="M36" s="175">
        <f>[12]Kalkulator!I36</f>
        <v>0</v>
      </c>
      <c r="N36" s="175">
        <f>[13]Kalkulator!I36</f>
        <v>0</v>
      </c>
      <c r="O36" s="175">
        <f>[14]Kalkulator!I36</f>
        <v>0</v>
      </c>
      <c r="P36" s="175">
        <f>[15]Kalkulator!I36</f>
        <v>0</v>
      </c>
      <c r="Q36" s="175">
        <f>[16]Kalkulator!I36</f>
        <v>0</v>
      </c>
      <c r="R36" s="175">
        <f>[17]Kalkulator!I36</f>
        <v>0</v>
      </c>
      <c r="S36" s="175">
        <f>[18]Kalkulator!I36</f>
        <v>0</v>
      </c>
      <c r="T36" s="175">
        <f>[19]Kalkulator!I36</f>
        <v>0</v>
      </c>
      <c r="U36" s="175">
        <f>[20]Kalkulator!I36</f>
        <v>0</v>
      </c>
      <c r="V36" s="175">
        <f>[21]Kalkulator!I36</f>
        <v>0</v>
      </c>
      <c r="W36" s="175">
        <f>[22]Kalkulator!I36</f>
        <v>0</v>
      </c>
      <c r="X36" s="175">
        <f>[23]Kalkulator!I36</f>
        <v>0</v>
      </c>
      <c r="Y36" s="175">
        <f>[24]Kalkulator!I36</f>
        <v>0</v>
      </c>
      <c r="Z36" s="175">
        <f>[25]Kalkulator!I36</f>
        <v>0</v>
      </c>
      <c r="AB36" s="175">
        <f>[26]Kalkulator!I36</f>
        <v>0</v>
      </c>
      <c r="AC36" s="175">
        <f>[27]Kalkulator!I36</f>
        <v>0</v>
      </c>
      <c r="AD36" s="175">
        <f>[28]Kalkulator!I36</f>
        <v>0</v>
      </c>
      <c r="AE36" s="175">
        <f>[29]Kalkulator!I36</f>
        <v>0</v>
      </c>
      <c r="AF36" s="175">
        <f>[30]Kalkulator!L36</f>
        <v>0</v>
      </c>
      <c r="AG36" s="175">
        <f>[31]Kalkulator!I36</f>
        <v>0</v>
      </c>
      <c r="AH36" s="175">
        <f>[32]Kalkulator!I36</f>
        <v>0</v>
      </c>
      <c r="AI36" s="175">
        <f>[33]Kalkulator!I36</f>
        <v>0</v>
      </c>
      <c r="AJ36" s="175">
        <f>[34]Kalkulator!I36</f>
        <v>0</v>
      </c>
      <c r="AK36" s="175">
        <f>[35]Kalkulator!I36</f>
        <v>0</v>
      </c>
      <c r="AL36" s="175">
        <f>[36]Kalkulator!I36</f>
        <v>0</v>
      </c>
      <c r="AM36" s="175">
        <f>[37]Kalkulator!I36</f>
        <v>0</v>
      </c>
      <c r="AN36" s="175">
        <f>[38]Kalkulator!I36</f>
        <v>0</v>
      </c>
      <c r="AO36" s="175">
        <f>[39]Kalkulator!I36</f>
        <v>0</v>
      </c>
      <c r="AP36" s="175">
        <f>[40]Kalkulator!I36</f>
        <v>0</v>
      </c>
      <c r="AQ36" s="175">
        <f>[41]Kalkulator!I36</f>
        <v>0</v>
      </c>
      <c r="AR36" s="175">
        <f>[42]Kalkulator!I36</f>
        <v>0</v>
      </c>
      <c r="AS36" s="176">
        <f t="shared" si="0"/>
        <v>0</v>
      </c>
    </row>
    <row r="37" spans="1:45" ht="13.5" customHeight="1">
      <c r="A37" s="30" t="s">
        <v>145</v>
      </c>
      <c r="B37" s="175">
        <f>[1]Kalkulator!I37</f>
        <v>0</v>
      </c>
      <c r="C37" s="175">
        <f>[2]Kalkulator!I37</f>
        <v>0</v>
      </c>
      <c r="D37" s="175">
        <f>[3]Kalkulator!I37</f>
        <v>0</v>
      </c>
      <c r="E37" s="175">
        <f>[4]Kalkulator!I37</f>
        <v>0</v>
      </c>
      <c r="F37" s="175">
        <f>[5]Kalkulator!I37</f>
        <v>0</v>
      </c>
      <c r="G37" s="175">
        <f>[6]Kalkulator!I37</f>
        <v>0</v>
      </c>
      <c r="H37" s="175">
        <f>[7]Kalkulator!I37</f>
        <v>0</v>
      </c>
      <c r="I37" s="175">
        <f>[8]Kalkulator!I37</f>
        <v>0</v>
      </c>
      <c r="J37" s="175">
        <f>[9]Kalkulator!I37</f>
        <v>422500</v>
      </c>
      <c r="K37" s="175">
        <f>[10]Kalkulator!L36</f>
        <v>0</v>
      </c>
      <c r="L37" s="175">
        <f>[11]Kalkulator!I37</f>
        <v>0</v>
      </c>
      <c r="M37" s="175">
        <f>[12]Kalkulator!I37</f>
        <v>15333.333333333334</v>
      </c>
      <c r="N37" s="175">
        <f>[13]Kalkulator!I37</f>
        <v>0</v>
      </c>
      <c r="O37" s="175">
        <f>[14]Kalkulator!I37</f>
        <v>0</v>
      </c>
      <c r="P37" s="175">
        <f>[15]Kalkulator!I37</f>
        <v>19000</v>
      </c>
      <c r="Q37" s="175">
        <f>[16]Kalkulator!I37</f>
        <v>0</v>
      </c>
      <c r="R37" s="175">
        <f>[17]Kalkulator!I37</f>
        <v>0</v>
      </c>
      <c r="S37" s="175">
        <f>[18]Kalkulator!I37</f>
        <v>0</v>
      </c>
      <c r="T37" s="175">
        <f>[19]Kalkulator!I37</f>
        <v>0</v>
      </c>
      <c r="U37" s="175">
        <f>[20]Kalkulator!I37</f>
        <v>0</v>
      </c>
      <c r="V37" s="175">
        <f>[21]Kalkulator!I37</f>
        <v>18333.333333333332</v>
      </c>
      <c r="W37" s="175">
        <f>[22]Kalkulator!I37</f>
        <v>16333.333333333332</v>
      </c>
      <c r="X37" s="175">
        <f>[23]Kalkulator!I37</f>
        <v>0</v>
      </c>
      <c r="Y37" s="175">
        <f>[24]Kalkulator!I37</f>
        <v>0</v>
      </c>
      <c r="Z37" s="175">
        <f>[25]Kalkulator!I37</f>
        <v>0</v>
      </c>
      <c r="AB37" s="175">
        <f>[26]Kalkulator!I37</f>
        <v>0</v>
      </c>
      <c r="AC37" s="175">
        <f>[27]Kalkulator!I37</f>
        <v>0</v>
      </c>
      <c r="AD37" s="175">
        <f>[28]Kalkulator!I37</f>
        <v>0</v>
      </c>
      <c r="AE37" s="175">
        <f>[29]Kalkulator!I37</f>
        <v>0</v>
      </c>
      <c r="AF37" s="175">
        <f>[30]Kalkulator!L37</f>
        <v>0</v>
      </c>
      <c r="AG37" s="175">
        <f>[31]Kalkulator!I37</f>
        <v>0</v>
      </c>
      <c r="AH37" s="175">
        <f>[32]Kalkulator!I37</f>
        <v>0</v>
      </c>
      <c r="AI37" s="175">
        <f>[33]Kalkulator!I37</f>
        <v>0</v>
      </c>
      <c r="AJ37" s="175">
        <f>[34]Kalkulator!I37</f>
        <v>412000</v>
      </c>
      <c r="AK37" s="175">
        <f>[35]Kalkulator!I37</f>
        <v>0</v>
      </c>
      <c r="AL37" s="175">
        <f>[36]Kalkulator!I37</f>
        <v>0</v>
      </c>
      <c r="AM37" s="175">
        <f>[37]Kalkulator!I37</f>
        <v>46833.333333333328</v>
      </c>
      <c r="AN37" s="175">
        <f>[38]Kalkulator!I37</f>
        <v>0</v>
      </c>
      <c r="AO37" s="175">
        <f>[39]Kalkulator!I37</f>
        <v>0</v>
      </c>
      <c r="AP37" s="175">
        <f>[40]Kalkulator!I37</f>
        <v>0</v>
      </c>
      <c r="AQ37" s="175">
        <f>[41]Kalkulator!I37</f>
        <v>0</v>
      </c>
      <c r="AR37" s="175">
        <f>[42]Kalkulator!I37</f>
        <v>0</v>
      </c>
      <c r="AS37" s="176">
        <f t="shared" si="0"/>
        <v>950333.33333333337</v>
      </c>
    </row>
    <row r="38" spans="1:45" ht="13.5" customHeight="1">
      <c r="A38" s="30" t="s">
        <v>146</v>
      </c>
      <c r="B38" s="175">
        <f>[1]Kalkulator!I38</f>
        <v>0</v>
      </c>
      <c r="C38" s="175">
        <f>[2]Kalkulator!I38</f>
        <v>2000</v>
      </c>
      <c r="D38" s="175">
        <f>[3]Kalkulator!I38</f>
        <v>0</v>
      </c>
      <c r="E38" s="175">
        <f>[4]Kalkulator!I38</f>
        <v>0</v>
      </c>
      <c r="F38" s="175">
        <f>[5]Kalkulator!I38</f>
        <v>0</v>
      </c>
      <c r="G38" s="175">
        <f>[6]Kalkulator!I38</f>
        <v>0</v>
      </c>
      <c r="H38" s="175">
        <f>[7]Kalkulator!I38</f>
        <v>0</v>
      </c>
      <c r="I38" s="175">
        <f>[8]Kalkulator!I38</f>
        <v>0</v>
      </c>
      <c r="J38" s="175">
        <f>[9]Kalkulator!I38</f>
        <v>0</v>
      </c>
      <c r="K38" s="175">
        <f>[10]Kalkulator!L37</f>
        <v>0</v>
      </c>
      <c r="L38" s="175">
        <f>[11]Kalkulator!I38</f>
        <v>0</v>
      </c>
      <c r="M38" s="175">
        <f>[12]Kalkulator!I38</f>
        <v>0</v>
      </c>
      <c r="N38" s="175">
        <f>[13]Kalkulator!I38</f>
        <v>0</v>
      </c>
      <c r="O38" s="175">
        <f>[14]Kalkulator!I38</f>
        <v>0</v>
      </c>
      <c r="P38" s="175">
        <f>[15]Kalkulator!I38</f>
        <v>16000</v>
      </c>
      <c r="Q38" s="175">
        <f>[16]Kalkulator!I38</f>
        <v>0</v>
      </c>
      <c r="R38" s="175">
        <f>[17]Kalkulator!I38</f>
        <v>63583.333333333336</v>
      </c>
      <c r="S38" s="175">
        <f>[18]Kalkulator!I38</f>
        <v>0</v>
      </c>
      <c r="T38" s="175">
        <f>[19]Kalkulator!I38</f>
        <v>0</v>
      </c>
      <c r="U38" s="175">
        <f>[20]Kalkulator!I38</f>
        <v>0</v>
      </c>
      <c r="V38" s="175">
        <f>[21]Kalkulator!I38</f>
        <v>0</v>
      </c>
      <c r="W38" s="175">
        <f>[22]Kalkulator!I38</f>
        <v>0</v>
      </c>
      <c r="X38" s="175">
        <f>[23]Kalkulator!I38</f>
        <v>0</v>
      </c>
      <c r="Y38" s="175">
        <f>[24]Kalkulator!I38</f>
        <v>0</v>
      </c>
      <c r="Z38" s="175">
        <f>[25]Kalkulator!I38</f>
        <v>0</v>
      </c>
      <c r="AB38" s="175">
        <f>[26]Kalkulator!I38</f>
        <v>0</v>
      </c>
      <c r="AC38" s="175">
        <f>[27]Kalkulator!I38</f>
        <v>0</v>
      </c>
      <c r="AD38" s="175">
        <f>[28]Kalkulator!I38</f>
        <v>0</v>
      </c>
      <c r="AE38" s="175">
        <f>[29]Kalkulator!I38</f>
        <v>0</v>
      </c>
      <c r="AF38" s="175">
        <f>[30]Kalkulator!L38</f>
        <v>0</v>
      </c>
      <c r="AG38" s="175">
        <f>[31]Kalkulator!I38</f>
        <v>0</v>
      </c>
      <c r="AH38" s="175">
        <f>[32]Kalkulator!I38</f>
        <v>0</v>
      </c>
      <c r="AI38" s="175">
        <f>[33]Kalkulator!I38</f>
        <v>0</v>
      </c>
      <c r="AJ38" s="175">
        <f>[34]Kalkulator!I38</f>
        <v>50833.333333333336</v>
      </c>
      <c r="AK38" s="175">
        <f>[35]Kalkulator!I38</f>
        <v>0</v>
      </c>
      <c r="AL38" s="175">
        <f>[36]Kalkulator!I38</f>
        <v>0</v>
      </c>
      <c r="AM38" s="175">
        <f>[37]Kalkulator!I38</f>
        <v>0</v>
      </c>
      <c r="AN38" s="175">
        <f>[38]Kalkulator!I38</f>
        <v>0</v>
      </c>
      <c r="AO38" s="175">
        <f>[39]Kalkulator!I38</f>
        <v>0</v>
      </c>
      <c r="AP38" s="175">
        <f>[40]Kalkulator!I38</f>
        <v>0</v>
      </c>
      <c r="AQ38" s="175">
        <f>[41]Kalkulator!I38</f>
        <v>0</v>
      </c>
      <c r="AR38" s="175">
        <f>[42]Kalkulator!I38</f>
        <v>0</v>
      </c>
      <c r="AS38" s="176">
        <f t="shared" si="0"/>
        <v>132416.66666666669</v>
      </c>
    </row>
    <row r="39" spans="1:45" ht="13.5" customHeight="1">
      <c r="A39" s="30" t="s">
        <v>147</v>
      </c>
      <c r="B39" s="175"/>
      <c r="C39" s="175">
        <f>[2]Kalkulator!I39</f>
        <v>0</v>
      </c>
      <c r="D39" s="175">
        <f>[3]Kalkulator!I39</f>
        <v>0</v>
      </c>
      <c r="E39" s="175">
        <f>[4]Kalkulator!I39</f>
        <v>0</v>
      </c>
      <c r="F39" s="175"/>
      <c r="G39" s="175"/>
      <c r="H39" s="175">
        <f>[7]Kalkulator!I39</f>
        <v>0</v>
      </c>
      <c r="I39" s="175">
        <f>[8]Kalkulator!I39</f>
        <v>0</v>
      </c>
      <c r="J39" s="175">
        <f>[9]Kalkulator!I39</f>
        <v>0</v>
      </c>
      <c r="K39" s="175">
        <f>[10]Kalkulator!L38</f>
        <v>0</v>
      </c>
      <c r="L39" s="175"/>
      <c r="M39" s="175"/>
      <c r="N39" s="175">
        <f>[13]Kalkulator!I39</f>
        <v>0</v>
      </c>
      <c r="O39" s="175"/>
      <c r="P39" s="175">
        <f>[15]Kalkulator!I39</f>
        <v>0</v>
      </c>
      <c r="Q39" s="175"/>
      <c r="R39" s="175">
        <f>[17]Kalkulator!I39</f>
        <v>3750</v>
      </c>
      <c r="S39" s="175"/>
      <c r="T39" s="175">
        <f>[19]Kalkulator!I39</f>
        <v>0</v>
      </c>
      <c r="U39" s="175"/>
      <c r="V39" s="175">
        <f>[21]Kalkulator!I39</f>
        <v>0</v>
      </c>
      <c r="W39" s="175">
        <f>[22]Kalkulator!I39</f>
        <v>0</v>
      </c>
      <c r="X39" s="175"/>
      <c r="Y39" s="175">
        <f>[24]Kalkulator!I39</f>
        <v>0</v>
      </c>
      <c r="Z39" s="175">
        <f>[25]Kalkulator!I39</f>
        <v>0</v>
      </c>
      <c r="AB39" s="175"/>
      <c r="AC39" s="175"/>
      <c r="AD39" s="175">
        <f>[28]Kalkulator!I39</f>
        <v>0</v>
      </c>
      <c r="AE39" s="175"/>
      <c r="AF39" s="175">
        <f>[30]Kalkulator!L39</f>
        <v>0</v>
      </c>
      <c r="AG39" s="175">
        <f>[31]Kalkulator!I39</f>
        <v>0</v>
      </c>
      <c r="AH39" s="175">
        <f>[32]Kalkulator!I39</f>
        <v>0</v>
      </c>
      <c r="AI39" s="175"/>
      <c r="AJ39" s="175">
        <f>[34]Kalkulator!I39</f>
        <v>0</v>
      </c>
      <c r="AK39" s="175"/>
      <c r="AL39" s="175">
        <f>[36]Kalkulator!I39</f>
        <v>0</v>
      </c>
      <c r="AM39" s="175">
        <f>[37]Kalkulator!I39</f>
        <v>0</v>
      </c>
      <c r="AN39" s="175">
        <f>[38]Kalkulator!I39</f>
        <v>0</v>
      </c>
      <c r="AO39" s="175">
        <f>[39]Kalkulator!I39</f>
        <v>2916.666666666667</v>
      </c>
      <c r="AP39" s="175">
        <f>[40]Kalkulator!I39</f>
        <v>0</v>
      </c>
      <c r="AQ39" s="175"/>
      <c r="AR39" s="175"/>
      <c r="AS39" s="176">
        <f t="shared" si="0"/>
        <v>6666.666666666667</v>
      </c>
    </row>
    <row r="40" spans="1:45" ht="4.5" customHeight="1">
      <c r="A40" s="35"/>
      <c r="B40" s="175">
        <f>[1]Kalkulator!I39</f>
        <v>0</v>
      </c>
      <c r="C40" s="175"/>
      <c r="D40" s="175">
        <f>[3]Kalkulator!I40</f>
        <v>0</v>
      </c>
      <c r="E40" s="175">
        <f>[4]Kalkulator!I40</f>
        <v>0</v>
      </c>
      <c r="F40" s="175">
        <f>[5]Kalkulator!I39</f>
        <v>0</v>
      </c>
      <c r="G40" s="175">
        <f>[6]Kalkulator!I39</f>
        <v>0</v>
      </c>
      <c r="H40" s="175">
        <f>[7]Kalkulator!I40</f>
        <v>0</v>
      </c>
      <c r="I40" s="175">
        <f>[8]Kalkulator!I40</f>
        <v>0</v>
      </c>
      <c r="J40" s="175">
        <f>[9]Kalkulator!I40</f>
        <v>0</v>
      </c>
      <c r="K40" s="175"/>
      <c r="L40" s="175">
        <f>[11]Kalkulator!I39</f>
        <v>0</v>
      </c>
      <c r="M40" s="175">
        <f>[12]Kalkulator!I39</f>
        <v>0</v>
      </c>
      <c r="N40" s="175"/>
      <c r="O40" s="175">
        <f>[14]Kalkulator!I39</f>
        <v>0</v>
      </c>
      <c r="P40" s="175">
        <f>[15]Kalkulator!I40</f>
        <v>0</v>
      </c>
      <c r="Q40" s="175">
        <f>[16]Kalkulator!I39</f>
        <v>0</v>
      </c>
      <c r="R40" s="175">
        <f>[17]Kalkulator!I40</f>
        <v>0</v>
      </c>
      <c r="S40" s="175">
        <f>[18]Kalkulator!I39</f>
        <v>0</v>
      </c>
      <c r="T40" s="175">
        <f>[19]Kalkulator!I40</f>
        <v>0</v>
      </c>
      <c r="U40" s="175">
        <f>[20]Kalkulator!I39</f>
        <v>0</v>
      </c>
      <c r="V40" s="175">
        <f>[21]Kalkulator!I40</f>
        <v>0</v>
      </c>
      <c r="W40" s="175">
        <f>[22]Kalkulator!I40</f>
        <v>0</v>
      </c>
      <c r="X40" s="175">
        <f>[23]Kalkulator!I39</f>
        <v>0</v>
      </c>
      <c r="Y40" s="175">
        <f>[24]Kalkulator!I40</f>
        <v>0</v>
      </c>
      <c r="Z40" s="175">
        <f>[25]Kalkulator!I40</f>
        <v>0</v>
      </c>
      <c r="AB40" s="175">
        <f>[26]Kalkulator!I39</f>
        <v>0</v>
      </c>
      <c r="AC40" s="175">
        <f>[27]Kalkulator!I39</f>
        <v>0</v>
      </c>
      <c r="AD40" s="175">
        <f>[28]Kalkulator!I40</f>
        <v>0</v>
      </c>
      <c r="AE40" s="175">
        <f>[29]Kalkulator!I39</f>
        <v>0</v>
      </c>
      <c r="AF40" s="175">
        <f>[30]Kalkulator!L40</f>
        <v>0</v>
      </c>
      <c r="AG40" s="175"/>
      <c r="AH40" s="175">
        <f>[32]Kalkulator!I40</f>
        <v>0</v>
      </c>
      <c r="AI40" s="175">
        <f>[33]Kalkulator!I39</f>
        <v>0</v>
      </c>
      <c r="AJ40" s="175">
        <f>[34]Kalkulator!I40</f>
        <v>0</v>
      </c>
      <c r="AK40" s="175">
        <f>[35]Kalkulator!I39</f>
        <v>0</v>
      </c>
      <c r="AL40" s="175">
        <f>[36]Kalkulator!I40</f>
        <v>0</v>
      </c>
      <c r="AM40" s="175">
        <f>[37]Kalkulator!I40</f>
        <v>0</v>
      </c>
      <c r="AN40" s="175">
        <f>[38]Kalkulator!I40</f>
        <v>0</v>
      </c>
      <c r="AO40" s="175">
        <f>[39]Kalkulator!I40</f>
        <v>0</v>
      </c>
      <c r="AP40" s="175"/>
      <c r="AQ40" s="175">
        <f>[41]Kalkulator!I39</f>
        <v>0</v>
      </c>
      <c r="AR40" s="175">
        <f>[42]Kalkulator!I39</f>
        <v>0</v>
      </c>
      <c r="AS40" s="176">
        <f t="shared" si="0"/>
        <v>0</v>
      </c>
    </row>
    <row r="41" spans="1:45" ht="11.25" customHeight="1">
      <c r="A41" s="33" t="s">
        <v>66</v>
      </c>
      <c r="B41" s="175">
        <f>[1]Kalkulator!I40</f>
        <v>0</v>
      </c>
      <c r="C41" s="175">
        <f>[2]Kalkulator!I40</f>
        <v>0</v>
      </c>
      <c r="D41" s="175">
        <f>[3]Kalkulator!I41</f>
        <v>0</v>
      </c>
      <c r="E41" s="175">
        <f>[4]Kalkulator!I41</f>
        <v>0</v>
      </c>
      <c r="F41" s="175">
        <f>[5]Kalkulator!I40</f>
        <v>0</v>
      </c>
      <c r="G41" s="175">
        <f>[6]Kalkulator!I40</f>
        <v>0</v>
      </c>
      <c r="H41" s="175">
        <f>[7]Kalkulator!I41</f>
        <v>0</v>
      </c>
      <c r="I41" s="175">
        <f>[8]Kalkulator!I41</f>
        <v>0</v>
      </c>
      <c r="J41" s="175">
        <f>[9]Kalkulator!I41</f>
        <v>0</v>
      </c>
      <c r="K41" s="175">
        <f>[10]Kalkulator!L39</f>
        <v>0</v>
      </c>
      <c r="L41" s="175">
        <f>[11]Kalkulator!I40</f>
        <v>0</v>
      </c>
      <c r="M41" s="175">
        <f>[12]Kalkulator!I40</f>
        <v>0</v>
      </c>
      <c r="N41" s="175">
        <f>[13]Kalkulator!I40</f>
        <v>0</v>
      </c>
      <c r="O41" s="175">
        <f>[14]Kalkulator!I40</f>
        <v>0</v>
      </c>
      <c r="P41" s="175">
        <f>[15]Kalkulator!I41</f>
        <v>0</v>
      </c>
      <c r="Q41" s="175">
        <f>[16]Kalkulator!I40</f>
        <v>0</v>
      </c>
      <c r="R41" s="175">
        <f>[17]Kalkulator!I41</f>
        <v>0</v>
      </c>
      <c r="S41" s="175">
        <f>[18]Kalkulator!I40</f>
        <v>0</v>
      </c>
      <c r="T41" s="175">
        <f>[19]Kalkulator!I41</f>
        <v>0</v>
      </c>
      <c r="U41" s="175">
        <f>[20]Kalkulator!I40</f>
        <v>0</v>
      </c>
      <c r="V41" s="175">
        <f>[21]Kalkulator!I41</f>
        <v>0</v>
      </c>
      <c r="W41" s="175">
        <f>[22]Kalkulator!I41</f>
        <v>0</v>
      </c>
      <c r="X41" s="175">
        <f>[23]Kalkulator!I40</f>
        <v>0</v>
      </c>
      <c r="Y41" s="175">
        <f>[24]Kalkulator!I41</f>
        <v>0</v>
      </c>
      <c r="Z41" s="175">
        <f>[25]Kalkulator!I41</f>
        <v>0</v>
      </c>
      <c r="AB41" s="175">
        <f>[26]Kalkulator!I40</f>
        <v>0</v>
      </c>
      <c r="AC41" s="175">
        <f>[27]Kalkulator!I40</f>
        <v>0</v>
      </c>
      <c r="AD41" s="175">
        <f>[28]Kalkulator!I41</f>
        <v>0</v>
      </c>
      <c r="AE41" s="175">
        <f>[29]Kalkulator!I40</f>
        <v>0</v>
      </c>
      <c r="AF41" s="175">
        <f>[30]Kalkulator!L41</f>
        <v>0</v>
      </c>
      <c r="AG41" s="175">
        <f>[31]Kalkulator!I40</f>
        <v>0</v>
      </c>
      <c r="AH41" s="175">
        <f>[32]Kalkulator!I41</f>
        <v>0</v>
      </c>
      <c r="AI41" s="175">
        <f>[33]Kalkulator!I40</f>
        <v>0</v>
      </c>
      <c r="AJ41" s="175">
        <f>[34]Kalkulator!I41</f>
        <v>0</v>
      </c>
      <c r="AK41" s="175">
        <f>[35]Kalkulator!I40</f>
        <v>0</v>
      </c>
      <c r="AL41" s="175">
        <f>[36]Kalkulator!I41</f>
        <v>0</v>
      </c>
      <c r="AM41" s="175">
        <f>[37]Kalkulator!I41</f>
        <v>0</v>
      </c>
      <c r="AN41" s="175">
        <f>[38]Kalkulator!I41</f>
        <v>0</v>
      </c>
      <c r="AO41" s="175">
        <f>[39]Kalkulator!I41</f>
        <v>0</v>
      </c>
      <c r="AP41" s="175">
        <f>[40]Kalkulator!I40</f>
        <v>0</v>
      </c>
      <c r="AQ41" s="175">
        <f>[41]Kalkulator!I40</f>
        <v>0</v>
      </c>
      <c r="AR41" s="175">
        <f>[42]Kalkulator!I40</f>
        <v>0</v>
      </c>
      <c r="AS41" s="176">
        <f t="shared" si="0"/>
        <v>0</v>
      </c>
    </row>
    <row r="42" spans="1:45" ht="11.25" customHeight="1">
      <c r="A42" s="30" t="s">
        <v>64</v>
      </c>
      <c r="B42" s="175">
        <f>[1]Kalkulator!I41</f>
        <v>10000</v>
      </c>
      <c r="C42" s="175">
        <f>[2]Kalkulator!I41</f>
        <v>40000</v>
      </c>
      <c r="D42" s="175">
        <f>[3]Kalkulator!I42</f>
        <v>20000</v>
      </c>
      <c r="E42" s="175">
        <f>[4]Kalkulator!I42</f>
        <v>0</v>
      </c>
      <c r="F42" s="175">
        <f>[5]Kalkulator!I41</f>
        <v>40000</v>
      </c>
      <c r="G42" s="175">
        <f>[6]Kalkulator!I41</f>
        <v>10000</v>
      </c>
      <c r="H42" s="175">
        <f>[7]Kalkulator!I42</f>
        <v>0</v>
      </c>
      <c r="I42" s="175"/>
      <c r="J42" s="175">
        <f>[9]Kalkulator!I42</f>
        <v>0</v>
      </c>
      <c r="K42" s="175">
        <f>[10]Kalkulator!L40</f>
        <v>24000</v>
      </c>
      <c r="L42" s="175">
        <f>[11]Kalkulator!I41</f>
        <v>22000</v>
      </c>
      <c r="M42" s="175">
        <f>[12]Kalkulator!I41</f>
        <v>40000</v>
      </c>
      <c r="N42" s="175">
        <f>[13]Kalkulator!I41</f>
        <v>40000</v>
      </c>
      <c r="O42" s="175">
        <f>[14]Kalkulator!I41</f>
        <v>10000</v>
      </c>
      <c r="P42" s="175">
        <f>[15]Kalkulator!I42</f>
        <v>0</v>
      </c>
      <c r="Q42" s="175">
        <f>[16]Kalkulator!I41</f>
        <v>17000</v>
      </c>
      <c r="R42" s="175">
        <f>[17]Kalkulator!I42</f>
        <v>32000</v>
      </c>
      <c r="S42" s="175">
        <f>[18]Kalkulator!I41</f>
        <v>35000</v>
      </c>
      <c r="T42" s="175">
        <f>[19]Kalkulator!I42</f>
        <v>0</v>
      </c>
      <c r="U42" s="175">
        <f>[20]Kalkulator!I41</f>
        <v>14000</v>
      </c>
      <c r="V42" s="175">
        <f>[21]Kalkulator!I42</f>
        <v>22000</v>
      </c>
      <c r="W42" s="175">
        <f>[22]Kalkulator!I42</f>
        <v>0</v>
      </c>
      <c r="X42" s="175">
        <f>[23]Kalkulator!I41</f>
        <v>11000</v>
      </c>
      <c r="Y42" s="175">
        <f>[24]Kalkulator!I42</f>
        <v>0</v>
      </c>
      <c r="Z42" s="175">
        <f>[25]Kalkulator!I42</f>
        <v>0</v>
      </c>
      <c r="AB42" s="175">
        <f>[26]Kalkulator!I41</f>
        <v>100000</v>
      </c>
      <c r="AC42" s="175">
        <f>[27]Kalkulator!I41</f>
        <v>40000</v>
      </c>
      <c r="AD42" s="175">
        <f>[28]Kalkulator!I42</f>
        <v>0</v>
      </c>
      <c r="AE42" s="175">
        <f>[29]Kalkulator!I41</f>
        <v>10000</v>
      </c>
      <c r="AF42" s="175"/>
      <c r="AG42" s="175">
        <f>[31]Kalkulator!I41</f>
        <v>28000</v>
      </c>
      <c r="AH42" s="175">
        <f>[32]Kalkulator!I42</f>
        <v>0</v>
      </c>
      <c r="AI42" s="175">
        <f>[33]Kalkulator!I41</f>
        <v>10000</v>
      </c>
      <c r="AJ42" s="175">
        <f>[34]Kalkulator!I42</f>
        <v>0</v>
      </c>
      <c r="AK42" s="175">
        <f>[35]Kalkulator!I41</f>
        <v>12692.488414745947</v>
      </c>
      <c r="AL42" s="175"/>
      <c r="AM42" s="175">
        <f>[37]Kalkulator!I42</f>
        <v>0</v>
      </c>
      <c r="AN42" s="175">
        <f>[38]Kalkulator!I42</f>
        <v>0</v>
      </c>
      <c r="AO42" s="175">
        <f>[39]Kalkulator!I42</f>
        <v>0</v>
      </c>
      <c r="AP42" s="175">
        <f>[40]Kalkulator!I41</f>
        <v>40000</v>
      </c>
      <c r="AQ42" s="175">
        <f>[41]Kalkulator!I41</f>
        <v>40000</v>
      </c>
      <c r="AR42" s="175">
        <f>[42]Kalkulator!I41</f>
        <v>19000</v>
      </c>
      <c r="AS42" s="176">
        <f t="shared" si="0"/>
        <v>686692.48841474589</v>
      </c>
    </row>
    <row r="43" spans="1:45" ht="11.25" customHeight="1">
      <c r="A43" s="33" t="s">
        <v>67</v>
      </c>
      <c r="B43" s="175">
        <f>[1]Kalkulator!I42</f>
        <v>0</v>
      </c>
      <c r="C43" s="175">
        <f>[2]Kalkulator!I42</f>
        <v>0</v>
      </c>
      <c r="D43" s="175">
        <f>[3]Kalkulator!I43</f>
        <v>0</v>
      </c>
      <c r="E43" s="175"/>
      <c r="F43" s="175">
        <f>[5]Kalkulator!I42</f>
        <v>0</v>
      </c>
      <c r="G43" s="175">
        <f>[6]Kalkulator!I42</f>
        <v>0</v>
      </c>
      <c r="H43" s="175">
        <f>[7]Kalkulator!I43</f>
        <v>0</v>
      </c>
      <c r="I43" s="175">
        <f>[8]Kalkulator!I42</f>
        <v>0</v>
      </c>
      <c r="J43" s="175">
        <f>[9]Kalkulator!I43</f>
        <v>0</v>
      </c>
      <c r="K43" s="175">
        <f>[10]Kalkulator!L41</f>
        <v>0</v>
      </c>
      <c r="L43" s="175">
        <f>[11]Kalkulator!I42</f>
        <v>0</v>
      </c>
      <c r="M43" s="175">
        <f>[12]Kalkulator!I42</f>
        <v>0</v>
      </c>
      <c r="N43" s="175">
        <f>[13]Kalkulator!I42</f>
        <v>0</v>
      </c>
      <c r="O43" s="175">
        <f>[14]Kalkulator!I42</f>
        <v>0</v>
      </c>
      <c r="P43" s="175">
        <f>[15]Kalkulator!I43</f>
        <v>0</v>
      </c>
      <c r="Q43" s="175">
        <f>[16]Kalkulator!I42</f>
        <v>0</v>
      </c>
      <c r="R43" s="175">
        <f>[17]Kalkulator!I43</f>
        <v>0</v>
      </c>
      <c r="S43" s="175">
        <f>[18]Kalkulator!I42</f>
        <v>0</v>
      </c>
      <c r="T43" s="175">
        <f>[19]Kalkulator!I43</f>
        <v>0</v>
      </c>
      <c r="U43" s="175">
        <f>[20]Kalkulator!I42</f>
        <v>0</v>
      </c>
      <c r="V43" s="175">
        <f>[21]Kalkulator!I43</f>
        <v>0</v>
      </c>
      <c r="W43" s="175">
        <f>[22]Kalkulator!I43</f>
        <v>0</v>
      </c>
      <c r="X43" s="175">
        <f>[23]Kalkulator!I42</f>
        <v>0</v>
      </c>
      <c r="Y43" s="175">
        <f>[24]Kalkulator!I43</f>
        <v>0</v>
      </c>
      <c r="Z43" s="175">
        <f>[25]Kalkulator!I43</f>
        <v>0</v>
      </c>
      <c r="AB43" s="175">
        <f>[26]Kalkulator!I42</f>
        <v>0</v>
      </c>
      <c r="AC43" s="175">
        <f>[27]Kalkulator!I42</f>
        <v>0</v>
      </c>
      <c r="AD43" s="175"/>
      <c r="AE43" s="175">
        <f>[29]Kalkulator!I42</f>
        <v>0</v>
      </c>
      <c r="AF43" s="175">
        <f>[30]Kalkulator!L42</f>
        <v>0</v>
      </c>
      <c r="AG43" s="175">
        <f>[31]Kalkulator!I42</f>
        <v>0</v>
      </c>
      <c r="AH43" s="175">
        <f>[32]Kalkulator!I43</f>
        <v>0</v>
      </c>
      <c r="AI43" s="175">
        <f>[33]Kalkulator!I42</f>
        <v>0</v>
      </c>
      <c r="AJ43" s="175">
        <f>[34]Kalkulator!I43</f>
        <v>0</v>
      </c>
      <c r="AK43" s="175">
        <f>[35]Kalkulator!I42</f>
        <v>0</v>
      </c>
      <c r="AL43" s="175">
        <f>[36]Kalkulator!I42</f>
        <v>0</v>
      </c>
      <c r="AM43" s="175">
        <f>[37]Kalkulator!I43</f>
        <v>0</v>
      </c>
      <c r="AN43" s="175">
        <f>[38]Kalkulator!I43</f>
        <v>0</v>
      </c>
      <c r="AO43" s="175">
        <f>[39]Kalkulator!I43</f>
        <v>0</v>
      </c>
      <c r="AP43" s="175">
        <f>[40]Kalkulator!I42</f>
        <v>0</v>
      </c>
      <c r="AQ43" s="175">
        <f>[41]Kalkulator!I42</f>
        <v>0</v>
      </c>
      <c r="AR43" s="175">
        <f>[42]Kalkulator!I42</f>
        <v>0</v>
      </c>
      <c r="AS43" s="176">
        <f t="shared" si="0"/>
        <v>0</v>
      </c>
    </row>
    <row r="44" spans="1:45" ht="11.25" customHeight="1">
      <c r="A44" s="30" t="s">
        <v>65</v>
      </c>
      <c r="B44" s="175">
        <f>[1]Kalkulator!I43</f>
        <v>5000</v>
      </c>
      <c r="C44" s="175">
        <f>[2]Kalkulator!I43</f>
        <v>0</v>
      </c>
      <c r="D44" s="175">
        <f>[3]Kalkulator!I44</f>
        <v>10000</v>
      </c>
      <c r="E44" s="175">
        <f>[4]Kalkulator!I43</f>
        <v>0</v>
      </c>
      <c r="F44" s="175">
        <f>[5]Kalkulator!I43</f>
        <v>20000</v>
      </c>
      <c r="G44" s="175">
        <f>[6]Kalkulator!I43</f>
        <v>5000</v>
      </c>
      <c r="H44" s="175"/>
      <c r="I44" s="175">
        <f>[8]Kalkulator!I43</f>
        <v>12500</v>
      </c>
      <c r="J44" s="175"/>
      <c r="K44" s="175">
        <f>[10]Kalkulator!L43</f>
        <v>12000</v>
      </c>
      <c r="L44" s="175">
        <f>[11]Kalkulator!I43</f>
        <v>11000</v>
      </c>
      <c r="M44" s="175">
        <f>[12]Kalkulator!I43</f>
        <v>20000</v>
      </c>
      <c r="N44" s="175">
        <f>[13]Kalkulator!I43</f>
        <v>20000</v>
      </c>
      <c r="O44" s="175">
        <f>[14]Kalkulator!I43</f>
        <v>5000</v>
      </c>
      <c r="P44" s="175"/>
      <c r="Q44" s="175">
        <f>[16]Kalkulator!I43</f>
        <v>8500</v>
      </c>
      <c r="R44" s="175">
        <f>[17]Kalkulator!I44</f>
        <v>16000</v>
      </c>
      <c r="S44" s="175">
        <f>[18]Kalkulator!I43</f>
        <v>0</v>
      </c>
      <c r="T44" s="175"/>
      <c r="U44" s="175">
        <f>[20]Kalkulator!I43</f>
        <v>7000</v>
      </c>
      <c r="V44" s="175">
        <f>[21]Kalkulator!I44</f>
        <v>11000</v>
      </c>
      <c r="W44" s="175"/>
      <c r="X44" s="175">
        <f>[23]Kalkulator!I43</f>
        <v>5500</v>
      </c>
      <c r="Y44" s="175">
        <f>[24]Kalkulator!I44</f>
        <v>0</v>
      </c>
      <c r="Z44" s="175">
        <f>[25]Kalkulator!I44</f>
        <v>0</v>
      </c>
      <c r="AB44" s="175">
        <f>[26]Kalkulator!I43</f>
        <v>40000</v>
      </c>
      <c r="AC44" s="175">
        <f>[27]Kalkulator!I43</f>
        <v>20000</v>
      </c>
      <c r="AD44" s="175">
        <f>[28]Kalkulator!I43</f>
        <v>0</v>
      </c>
      <c r="AE44" s="175">
        <f>[29]Kalkulator!I43</f>
        <v>5000</v>
      </c>
      <c r="AF44" s="175">
        <f>[30]Kalkulator!L43</f>
        <v>5000</v>
      </c>
      <c r="AG44" s="175">
        <f>[31]Kalkulator!I43</f>
        <v>0</v>
      </c>
      <c r="AH44" s="175"/>
      <c r="AI44" s="175">
        <f>[33]Kalkulator!I43</f>
        <v>5000</v>
      </c>
      <c r="AJ44" s="175">
        <f>[34]Kalkulator!I44</f>
        <v>0</v>
      </c>
      <c r="AK44" s="175">
        <f>[35]Kalkulator!I43</f>
        <v>6346.2442073729735</v>
      </c>
      <c r="AL44" s="175">
        <f>[36]Kalkulator!I43</f>
        <v>14500</v>
      </c>
      <c r="AM44" s="175">
        <f>[37]Kalkulator!I44</f>
        <v>0</v>
      </c>
      <c r="AN44" s="175"/>
      <c r="AO44" s="175">
        <f>[39]Kalkulator!I44</f>
        <v>0</v>
      </c>
      <c r="AP44" s="175">
        <f>[40]Kalkulator!I43</f>
        <v>0</v>
      </c>
      <c r="AQ44" s="175">
        <f>[41]Kalkulator!I43</f>
        <v>20000</v>
      </c>
      <c r="AR44" s="175">
        <f>[42]Kalkulator!I43</f>
        <v>9500</v>
      </c>
      <c r="AS44" s="176">
        <f t="shared" si="0"/>
        <v>293846.24420737301</v>
      </c>
    </row>
    <row r="45" spans="1:45" ht="4.5" customHeight="1">
      <c r="A45" s="30"/>
      <c r="B45" s="175">
        <f>[1]Kalkulator!I44</f>
        <v>0</v>
      </c>
      <c r="C45" s="175">
        <f>[2]Kalkulator!I44</f>
        <v>0</v>
      </c>
      <c r="D45" s="175">
        <f>[3]Kalkulator!I45</f>
        <v>0</v>
      </c>
      <c r="E45" s="175">
        <f>[4]Kalkulator!I44</f>
        <v>0</v>
      </c>
      <c r="F45" s="175">
        <f>[5]Kalkulator!I44</f>
        <v>0</v>
      </c>
      <c r="G45" s="175">
        <f>[6]Kalkulator!I44</f>
        <v>0</v>
      </c>
      <c r="H45" s="175">
        <f>[7]Kalkulator!I44</f>
        <v>0</v>
      </c>
      <c r="I45" s="175">
        <f>[8]Kalkulator!I44</f>
        <v>0</v>
      </c>
      <c r="J45" s="175">
        <f>[9]Kalkulator!I44</f>
        <v>0</v>
      </c>
      <c r="K45" s="175"/>
      <c r="L45" s="175">
        <f>[11]Kalkulator!I44</f>
        <v>0</v>
      </c>
      <c r="M45" s="175">
        <f>[12]Kalkulator!I44</f>
        <v>0</v>
      </c>
      <c r="N45" s="175">
        <f>[13]Kalkulator!I44</f>
        <v>0</v>
      </c>
      <c r="O45" s="175">
        <f>[14]Kalkulator!I44</f>
        <v>0</v>
      </c>
      <c r="P45" s="175">
        <f>[15]Kalkulator!I44</f>
        <v>0</v>
      </c>
      <c r="Q45" s="175">
        <f>[16]Kalkulator!I44</f>
        <v>0</v>
      </c>
      <c r="R45" s="175">
        <f>[17]Kalkulator!I45</f>
        <v>0</v>
      </c>
      <c r="S45" s="175">
        <f>[18]Kalkulator!I44</f>
        <v>0</v>
      </c>
      <c r="T45" s="175">
        <f>[19]Kalkulator!I44</f>
        <v>0</v>
      </c>
      <c r="U45" s="175">
        <f>[20]Kalkulator!I44</f>
        <v>0</v>
      </c>
      <c r="V45" s="175">
        <f>[21]Kalkulator!I45</f>
        <v>0</v>
      </c>
      <c r="W45" s="175">
        <f>[22]Kalkulator!I44</f>
        <v>0</v>
      </c>
      <c r="X45" s="175">
        <f>[23]Kalkulator!I44</f>
        <v>0</v>
      </c>
      <c r="Y45" s="175">
        <f>[24]Kalkulator!I45</f>
        <v>0</v>
      </c>
      <c r="Z45" s="175">
        <f>[25]Kalkulator!I45</f>
        <v>0</v>
      </c>
      <c r="AB45" s="175">
        <f>[26]Kalkulator!I44</f>
        <v>0</v>
      </c>
      <c r="AC45" s="175">
        <f>[27]Kalkulator!I44</f>
        <v>0</v>
      </c>
      <c r="AD45" s="175">
        <f>[28]Kalkulator!I44</f>
        <v>0</v>
      </c>
      <c r="AE45" s="175">
        <f>[29]Kalkulator!I44</f>
        <v>0</v>
      </c>
      <c r="AF45" s="175">
        <f>[30]Kalkulator!L44</f>
        <v>0</v>
      </c>
      <c r="AG45" s="175">
        <f>[31]Kalkulator!I44</f>
        <v>0</v>
      </c>
      <c r="AH45" s="175">
        <f>[32]Kalkulator!I44</f>
        <v>0</v>
      </c>
      <c r="AI45" s="175">
        <f>[33]Kalkulator!I44</f>
        <v>0</v>
      </c>
      <c r="AJ45" s="175"/>
      <c r="AK45" s="175">
        <f>[35]Kalkulator!I44</f>
        <v>0</v>
      </c>
      <c r="AL45" s="175">
        <f>[36]Kalkulator!I44</f>
        <v>0</v>
      </c>
      <c r="AM45" s="175"/>
      <c r="AN45" s="175">
        <f>[38]Kalkulator!I44</f>
        <v>0</v>
      </c>
      <c r="AO45" s="175">
        <f>[39]Kalkulator!I45</f>
        <v>0</v>
      </c>
      <c r="AP45" s="175">
        <f>[40]Kalkulator!I44</f>
        <v>0</v>
      </c>
      <c r="AQ45" s="175">
        <f>[41]Kalkulator!I44</f>
        <v>0</v>
      </c>
      <c r="AR45" s="175">
        <f>[42]Kalkulator!I44</f>
        <v>0</v>
      </c>
      <c r="AS45" s="176">
        <f t="shared" si="0"/>
        <v>0</v>
      </c>
    </row>
    <row r="46" spans="1:45">
      <c r="A46" s="20" t="s">
        <v>4</v>
      </c>
      <c r="B46" s="175">
        <f>[1]Kalkulator!I45</f>
        <v>0</v>
      </c>
      <c r="C46" s="175">
        <f>[2]Kalkulator!I45</f>
        <v>0</v>
      </c>
      <c r="D46" s="175">
        <f>[3]Kalkulator!I46</f>
        <v>0</v>
      </c>
      <c r="E46" s="175">
        <f>[4]Kalkulator!I45</f>
        <v>0</v>
      </c>
      <c r="F46" s="175">
        <f>[5]Kalkulator!I45</f>
        <v>0</v>
      </c>
      <c r="G46" s="175">
        <f>[6]Kalkulator!I45</f>
        <v>0</v>
      </c>
      <c r="H46" s="175">
        <f>[7]Kalkulator!I45</f>
        <v>0</v>
      </c>
      <c r="I46" s="175">
        <f>[8]Kalkulator!I45</f>
        <v>0</v>
      </c>
      <c r="J46" s="175">
        <f>[9]Kalkulator!I45</f>
        <v>0</v>
      </c>
      <c r="K46" s="175">
        <f>[10]Kalkulator!L44</f>
        <v>0</v>
      </c>
      <c r="L46" s="175">
        <f>[11]Kalkulator!I45</f>
        <v>0</v>
      </c>
      <c r="M46" s="175">
        <f>[12]Kalkulator!I45</f>
        <v>0</v>
      </c>
      <c r="N46" s="175">
        <f>[13]Kalkulator!I45</f>
        <v>0</v>
      </c>
      <c r="O46" s="175">
        <f>[14]Kalkulator!I45</f>
        <v>0</v>
      </c>
      <c r="P46" s="175">
        <f>[15]Kalkulator!I45</f>
        <v>0</v>
      </c>
      <c r="Q46" s="175">
        <f>[16]Kalkulator!I45</f>
        <v>0</v>
      </c>
      <c r="R46" s="175">
        <f>[17]Kalkulator!I46</f>
        <v>0</v>
      </c>
      <c r="S46" s="175">
        <f>[18]Kalkulator!I45</f>
        <v>0</v>
      </c>
      <c r="T46" s="175">
        <f>[19]Kalkulator!I45</f>
        <v>0</v>
      </c>
      <c r="U46" s="175">
        <f>[20]Kalkulator!I45</f>
        <v>0</v>
      </c>
      <c r="V46" s="175">
        <f>[21]Kalkulator!I46</f>
        <v>0</v>
      </c>
      <c r="W46" s="175">
        <f>[22]Kalkulator!I45</f>
        <v>0</v>
      </c>
      <c r="X46" s="175">
        <f>[23]Kalkulator!I45</f>
        <v>0</v>
      </c>
      <c r="Y46" s="175">
        <f>[24]Kalkulator!I46</f>
        <v>0</v>
      </c>
      <c r="Z46" s="175">
        <f>[25]Kalkulator!I46</f>
        <v>0</v>
      </c>
      <c r="AB46" s="175">
        <f>[26]Kalkulator!I45</f>
        <v>0</v>
      </c>
      <c r="AC46" s="175">
        <f>[27]Kalkulator!I45</f>
        <v>0</v>
      </c>
      <c r="AD46" s="175">
        <f>[28]Kalkulator!I45</f>
        <v>0</v>
      </c>
      <c r="AE46" s="175">
        <f>[29]Kalkulator!I45</f>
        <v>0</v>
      </c>
      <c r="AF46" s="175">
        <f>[30]Kalkulator!L45</f>
        <v>0</v>
      </c>
      <c r="AG46" s="175">
        <f>[31]Kalkulator!I45</f>
        <v>0</v>
      </c>
      <c r="AH46" s="175">
        <f>[32]Kalkulator!I45</f>
        <v>0</v>
      </c>
      <c r="AI46" s="175">
        <f>[33]Kalkulator!I45</f>
        <v>0</v>
      </c>
      <c r="AJ46" s="175">
        <f>[34]Kalkulator!I45</f>
        <v>0</v>
      </c>
      <c r="AK46" s="175">
        <f>[35]Kalkulator!I45</f>
        <v>0</v>
      </c>
      <c r="AL46" s="175">
        <f>[36]Kalkulator!I45</f>
        <v>0</v>
      </c>
      <c r="AM46" s="175">
        <f>[37]Kalkulator!I45</f>
        <v>0</v>
      </c>
      <c r="AN46" s="175">
        <f>[38]Kalkulator!I45</f>
        <v>0</v>
      </c>
      <c r="AO46" s="175">
        <f>[39]Kalkulator!I46</f>
        <v>0</v>
      </c>
      <c r="AP46" s="175">
        <f>[40]Kalkulator!I45</f>
        <v>0</v>
      </c>
      <c r="AQ46" s="175">
        <f>[41]Kalkulator!I45</f>
        <v>0</v>
      </c>
      <c r="AR46" s="175">
        <f>[42]Kalkulator!I45</f>
        <v>0</v>
      </c>
      <c r="AS46" s="176">
        <f t="shared" si="0"/>
        <v>0</v>
      </c>
    </row>
    <row r="47" spans="1:45" ht="12.75" thickBot="1">
      <c r="A47" s="21" t="s">
        <v>38</v>
      </c>
      <c r="B47" s="175">
        <f>[1]Kalkulator!I46</f>
        <v>30000</v>
      </c>
      <c r="C47" s="175">
        <f>[2]Kalkulator!I46</f>
        <v>120000</v>
      </c>
      <c r="D47" s="175">
        <f>[3]Kalkulator!I47</f>
        <v>60000</v>
      </c>
      <c r="E47" s="175">
        <f>[4]Kalkulator!I46</f>
        <v>30000</v>
      </c>
      <c r="F47" s="175">
        <f>[5]Kalkulator!I46</f>
        <v>120000</v>
      </c>
      <c r="G47" s="175">
        <f>[6]Kalkulator!I46</f>
        <v>30000</v>
      </c>
      <c r="H47" s="175">
        <f>[7]Kalkulator!I46</f>
        <v>90000</v>
      </c>
      <c r="I47" s="175">
        <f>[8]Kalkulator!I46</f>
        <v>75000</v>
      </c>
      <c r="J47" s="175">
        <f>[9]Kalkulator!I46</f>
        <v>48000</v>
      </c>
      <c r="K47" s="175">
        <f>[10]Kalkulator!L45</f>
        <v>17122.017999426607</v>
      </c>
      <c r="L47" s="175">
        <f>[11]Kalkulator!I46</f>
        <v>66000</v>
      </c>
      <c r="M47" s="175">
        <f>[12]Kalkulator!I46</f>
        <v>480000</v>
      </c>
      <c r="N47" s="175">
        <f>[13]Kalkulator!I46</f>
        <v>0</v>
      </c>
      <c r="O47" s="175">
        <f>[14]Kalkulator!I46</f>
        <v>30000</v>
      </c>
      <c r="P47" s="175">
        <f>[15]Kalkulator!I46</f>
        <v>120000</v>
      </c>
      <c r="Q47" s="175">
        <f>[16]Kalkulator!I46</f>
        <v>51000</v>
      </c>
      <c r="R47" s="175">
        <f>[17]Kalkulator!I47</f>
        <v>96000</v>
      </c>
      <c r="S47" s="175">
        <f>[18]Kalkulator!I46</f>
        <v>105000</v>
      </c>
      <c r="T47" s="175">
        <f>[19]Kalkulator!I46</f>
        <v>30000</v>
      </c>
      <c r="U47" s="175">
        <f>[20]Kalkulator!I46</f>
        <v>30000</v>
      </c>
      <c r="V47" s="175">
        <f>[21]Kalkulator!I47</f>
        <v>66000</v>
      </c>
      <c r="W47" s="175">
        <f>[22]Kalkulator!I46</f>
        <v>30000</v>
      </c>
      <c r="X47" s="175">
        <f>[23]Kalkulator!I46</f>
        <v>33000</v>
      </c>
      <c r="Y47" s="175">
        <f>[24]Kalkulator!I47</f>
        <v>0</v>
      </c>
      <c r="Z47" s="175">
        <f>[25]Kalkulator!I47</f>
        <v>39000</v>
      </c>
      <c r="AB47" s="175">
        <f>[26]Kalkulator!I46</f>
        <v>120000</v>
      </c>
      <c r="AC47" s="175">
        <f>[27]Kalkulator!I46</f>
        <v>120000</v>
      </c>
      <c r="AD47" s="175">
        <f>[28]Kalkulator!I46</f>
        <v>30000</v>
      </c>
      <c r="AE47" s="175">
        <f>[29]Kalkulator!I46</f>
        <v>30000</v>
      </c>
      <c r="AF47" s="175">
        <f>[30]Kalkulator!L46</f>
        <v>9129.5525816383742</v>
      </c>
      <c r="AG47" s="175">
        <f>[31]Kalkulator!I46</f>
        <v>0</v>
      </c>
      <c r="AH47" s="175">
        <f>[32]Kalkulator!I46</f>
        <v>36000</v>
      </c>
      <c r="AI47" s="175">
        <f>[33]Kalkulator!I46</f>
        <v>30000</v>
      </c>
      <c r="AJ47" s="175">
        <f>[34]Kalkulator!I46</f>
        <v>120000</v>
      </c>
      <c r="AK47" s="175">
        <f>[35]Kalkulator!I46</f>
        <v>38077.465244237843</v>
      </c>
      <c r="AL47" s="175">
        <f>[36]Kalkulator!I46</f>
        <v>87000</v>
      </c>
      <c r="AM47" s="175">
        <f>[37]Kalkulator!I46</f>
        <v>87000</v>
      </c>
      <c r="AN47" s="175">
        <f>[38]Kalkulator!I46</f>
        <v>84000</v>
      </c>
      <c r="AO47" s="175">
        <f>[39]Kalkulator!I47</f>
        <v>90000</v>
      </c>
      <c r="AP47" s="175">
        <f>[40]Kalkulator!I46</f>
        <v>120000</v>
      </c>
      <c r="AQ47" s="175">
        <f>[41]Kalkulator!I46</f>
        <v>120000</v>
      </c>
      <c r="AR47" s="175">
        <f>[42]Kalkulator!I46</f>
        <v>57000</v>
      </c>
      <c r="AS47" s="176">
        <f t="shared" si="0"/>
        <v>2974329.0358253028</v>
      </c>
    </row>
    <row r="48" spans="1:45" s="17" customFormat="1" ht="17.25" thickTop="1" thickBot="1">
      <c r="A48" s="36" t="s">
        <v>5</v>
      </c>
      <c r="B48" s="176">
        <f t="shared" ref="B48:J48" si="1">SUM(B8:B47)</f>
        <v>347650</v>
      </c>
      <c r="C48" s="176">
        <f t="shared" si="1"/>
        <v>676650</v>
      </c>
      <c r="D48" s="176">
        <f t="shared" si="1"/>
        <v>310300</v>
      </c>
      <c r="E48" s="176">
        <f t="shared" si="1"/>
        <v>284650</v>
      </c>
      <c r="F48" s="176">
        <f t="shared" si="1"/>
        <v>1294600</v>
      </c>
      <c r="G48" s="176">
        <f t="shared" si="1"/>
        <v>304150</v>
      </c>
      <c r="H48" s="176">
        <f t="shared" si="1"/>
        <v>671975</v>
      </c>
      <c r="I48" s="176">
        <f t="shared" si="1"/>
        <v>740401</v>
      </c>
      <c r="J48" s="176">
        <f t="shared" si="1"/>
        <v>923950</v>
      </c>
      <c r="K48" s="176">
        <f>SUM(K8:K47)</f>
        <v>82250.85112095112</v>
      </c>
      <c r="L48" s="176">
        <f t="shared" ref="L48:N48" si="2">SUM(L8:L47)</f>
        <v>502923</v>
      </c>
      <c r="M48" s="176">
        <f t="shared" si="2"/>
        <v>2617533.333333333</v>
      </c>
      <c r="N48" s="176">
        <f t="shared" si="2"/>
        <v>3378800</v>
      </c>
      <c r="O48" s="176">
        <f t="shared" ref="O48:Q48" si="3">SUM(O8:O47)</f>
        <v>527050</v>
      </c>
      <c r="P48" s="176">
        <f t="shared" si="3"/>
        <v>1447200</v>
      </c>
      <c r="Q48" s="176">
        <f t="shared" si="3"/>
        <v>866405</v>
      </c>
      <c r="R48" s="176">
        <f t="shared" ref="R48:AP48" si="4">SUM(R8:R47)</f>
        <v>841813.33333333337</v>
      </c>
      <c r="S48" s="176">
        <f t="shared" si="4"/>
        <v>421025</v>
      </c>
      <c r="T48" s="176">
        <f t="shared" si="4"/>
        <v>446050</v>
      </c>
      <c r="U48" s="176">
        <f t="shared" si="4"/>
        <v>451110</v>
      </c>
      <c r="V48" s="176">
        <f t="shared" si="4"/>
        <v>917763.33333333337</v>
      </c>
      <c r="W48" s="176">
        <f t="shared" si="4"/>
        <v>324983.33333333331</v>
      </c>
      <c r="X48" s="176">
        <f t="shared" si="4"/>
        <v>356015</v>
      </c>
      <c r="Y48" s="176">
        <f t="shared" si="4"/>
        <v>340090</v>
      </c>
      <c r="Z48" s="176">
        <f t="shared" si="4"/>
        <v>407745</v>
      </c>
      <c r="AA48" s="176">
        <f t="shared" ref="AA48" si="5">SUM(AA8:AA47)</f>
        <v>0</v>
      </c>
      <c r="AB48" s="176">
        <f t="shared" ref="AB48:AG48" si="6">SUM(AB8:AB47)</f>
        <v>3571400</v>
      </c>
      <c r="AC48" s="176">
        <f t="shared" si="6"/>
        <v>1465600</v>
      </c>
      <c r="AD48" s="176">
        <f t="shared" si="6"/>
        <v>108825</v>
      </c>
      <c r="AE48" s="176">
        <f t="shared" si="6"/>
        <v>539300</v>
      </c>
      <c r="AF48" s="176">
        <f t="shared" si="6"/>
        <v>105775.04458031825</v>
      </c>
      <c r="AG48" s="176">
        <f t="shared" si="6"/>
        <v>253568</v>
      </c>
      <c r="AH48" s="176">
        <f t="shared" ref="AH48:AN48" si="7">SUM(AH8:AH47)</f>
        <v>186980</v>
      </c>
      <c r="AI48" s="176">
        <f t="shared" si="7"/>
        <v>353650</v>
      </c>
      <c r="AJ48" s="176">
        <f t="shared" si="7"/>
        <v>1534473.3333333333</v>
      </c>
      <c r="AK48" s="176">
        <f t="shared" si="7"/>
        <v>439792.38754325261</v>
      </c>
      <c r="AL48" s="176">
        <f t="shared" si="7"/>
        <v>750550</v>
      </c>
      <c r="AM48" s="176">
        <f t="shared" si="7"/>
        <v>1040518.3333333334</v>
      </c>
      <c r="AN48" s="176">
        <f t="shared" si="7"/>
        <v>947240</v>
      </c>
      <c r="AO48" s="176">
        <f t="shared" si="4"/>
        <v>289566.66666666663</v>
      </c>
      <c r="AP48" s="176">
        <f t="shared" si="4"/>
        <v>1178240</v>
      </c>
      <c r="AQ48" s="176">
        <f>SUM(AQ8:AQ47)</f>
        <v>1323600</v>
      </c>
      <c r="AR48" s="176">
        <f t="shared" ref="AR48" si="8">SUM(AR8:AR47)</f>
        <v>324235</v>
      </c>
      <c r="AS48" s="182">
        <f>SUM(AS8:AS47)</f>
        <v>33896396.949911185</v>
      </c>
    </row>
    <row r="49" spans="1:45" s="17" customFormat="1" ht="15">
      <c r="A49" s="38"/>
      <c r="B49" s="176"/>
      <c r="C49" s="176"/>
      <c r="D49" s="175">
        <f>[3]Kalkulator!I49</f>
        <v>0</v>
      </c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S49" s="176"/>
      <c r="T49" s="176"/>
      <c r="U49" s="176"/>
      <c r="W49" s="176"/>
      <c r="X49" s="176"/>
      <c r="AB49" s="176"/>
      <c r="AC49" s="176"/>
      <c r="AD49" s="176"/>
      <c r="AE49" s="176"/>
      <c r="AF49" s="176"/>
      <c r="AG49" s="176"/>
      <c r="AH49" s="176"/>
      <c r="AI49" s="176"/>
      <c r="AJ49" s="176"/>
      <c r="AK49" s="176"/>
      <c r="AL49" s="176"/>
      <c r="AM49" s="176"/>
      <c r="AN49" s="176"/>
      <c r="AP49" s="176"/>
      <c r="AQ49" s="176"/>
      <c r="AR49" s="176"/>
      <c r="AS49" s="177"/>
    </row>
    <row r="50" spans="1:45" ht="15.75">
      <c r="A50" s="16" t="s">
        <v>143</v>
      </c>
      <c r="B50" s="37"/>
      <c r="C50" s="176"/>
      <c r="E50" s="17"/>
      <c r="F50" s="17"/>
      <c r="G50" s="17"/>
      <c r="H50" s="17"/>
      <c r="I50" s="17"/>
      <c r="J50" s="17"/>
      <c r="K50" s="176"/>
      <c r="L50" s="17"/>
      <c r="M50" s="17"/>
      <c r="N50" s="176"/>
      <c r="O50" s="17"/>
      <c r="P50" s="17"/>
      <c r="Q50" s="17"/>
      <c r="S50" s="17"/>
      <c r="T50" s="17"/>
      <c r="U50" s="17"/>
      <c r="W50" s="17"/>
      <c r="X50" s="17"/>
      <c r="AB50" s="17"/>
      <c r="AC50" s="17"/>
      <c r="AD50" s="17"/>
      <c r="AE50" s="17"/>
      <c r="AF50" s="17"/>
      <c r="AG50" s="176"/>
      <c r="AH50" s="17"/>
      <c r="AI50" s="17"/>
      <c r="AJ50" s="176"/>
      <c r="AK50" s="17"/>
      <c r="AL50" s="17"/>
      <c r="AM50" s="176"/>
      <c r="AN50" s="176"/>
      <c r="AP50" s="176"/>
      <c r="AQ50" s="17"/>
      <c r="AR50" s="17"/>
      <c r="AS50" s="180">
        <f>SUM(B48:AR48)</f>
        <v>33896396.949911192</v>
      </c>
    </row>
    <row r="51" spans="1:45" ht="15">
      <c r="A51" s="16" t="s">
        <v>142</v>
      </c>
      <c r="B51" s="37"/>
      <c r="C51" s="17"/>
      <c r="K51" s="17"/>
      <c r="N51" s="17"/>
      <c r="AG51" s="17"/>
      <c r="AJ51" s="17"/>
      <c r="AM51" s="17"/>
      <c r="AN51" s="17"/>
      <c r="AP51" s="17"/>
    </row>
    <row r="52" spans="1:45" ht="15">
      <c r="A52" s="16" t="s">
        <v>69</v>
      </c>
      <c r="AS52" s="178">
        <f>AS48-AS50</f>
        <v>0</v>
      </c>
    </row>
  </sheetData>
  <mergeCells count="1">
    <mergeCell ref="A2:A3"/>
  </mergeCells>
  <phoneticPr fontId="2" type="noConversion"/>
  <printOptions horizontalCentered="1"/>
  <pageMargins left="0.78740157480314965" right="0.19685039370078741" top="0.74803149606299213" bottom="0.51181102362204722" header="0.51181102362204722" footer="0.51181102362204722"/>
  <pageSetup paperSize="9" scale="70" orientation="landscape" horizontalDpi="525" verticalDpi="525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2"/>
  <sheetViews>
    <sheetView view="pageBreakPreview" zoomScaleNormal="90" workbookViewId="0">
      <selection activeCell="C28" sqref="C28"/>
    </sheetView>
  </sheetViews>
  <sheetFormatPr baseColWidth="10" defaultColWidth="20.42578125" defaultRowHeight="15"/>
  <cols>
    <col min="1" max="1" width="39.28515625" style="2" customWidth="1"/>
    <col min="2" max="2" width="10.7109375" style="2" bestFit="1" customWidth="1"/>
    <col min="3" max="3" width="11.5703125" style="1" customWidth="1"/>
    <col min="4" max="4" width="13" style="1" customWidth="1"/>
    <col min="5" max="5" width="15.140625" style="1" customWidth="1"/>
    <col min="6" max="6" width="13.7109375" style="2" customWidth="1"/>
    <col min="7" max="7" width="20.42578125" style="3" hidden="1" customWidth="1"/>
    <col min="8" max="8" width="13.85546875" style="2" customWidth="1"/>
    <col min="9" max="9" width="19.28515625" style="2" customWidth="1"/>
    <col min="10" max="11" width="10.140625" style="2" customWidth="1"/>
    <col min="12" max="16384" width="20.42578125" style="2"/>
  </cols>
  <sheetData>
    <row r="1" spans="1:11" ht="15.75">
      <c r="A1" s="39"/>
      <c r="B1" s="188" t="s">
        <v>111</v>
      </c>
      <c r="C1" s="188"/>
      <c r="D1" s="188"/>
      <c r="E1" s="188"/>
      <c r="F1" s="189" t="s">
        <v>115</v>
      </c>
      <c r="G1" s="41"/>
      <c r="H1" s="39"/>
      <c r="I1" s="39"/>
      <c r="J1" s="39"/>
      <c r="K1" s="39"/>
    </row>
    <row r="2" spans="1:11" ht="15.75">
      <c r="A2" s="62" t="s">
        <v>109</v>
      </c>
      <c r="B2" s="69" t="s">
        <v>110</v>
      </c>
      <c r="C2" s="17" t="s">
        <v>11</v>
      </c>
      <c r="D2" s="188" t="s">
        <v>112</v>
      </c>
      <c r="E2" s="188"/>
      <c r="F2" s="189"/>
      <c r="G2" s="41"/>
      <c r="H2" s="39"/>
      <c r="I2" s="192"/>
      <c r="J2" s="192"/>
      <c r="K2" s="192"/>
    </row>
    <row r="3" spans="1:11" ht="31.5">
      <c r="A3" s="39"/>
      <c r="B3" s="40"/>
      <c r="C3" s="17" t="s">
        <v>12</v>
      </c>
      <c r="D3" s="70" t="s">
        <v>113</v>
      </c>
      <c r="E3" s="70" t="s">
        <v>114</v>
      </c>
      <c r="F3" s="189"/>
      <c r="G3" s="41"/>
      <c r="H3" s="40"/>
      <c r="I3" s="52"/>
      <c r="J3" s="52"/>
      <c r="K3" s="52"/>
    </row>
    <row r="4" spans="1:11" ht="15.75">
      <c r="A4" s="39"/>
      <c r="B4" s="40"/>
      <c r="C4" s="39"/>
      <c r="D4" s="40"/>
      <c r="E4" s="40"/>
      <c r="F4" s="40"/>
      <c r="G4" s="41"/>
      <c r="H4" s="39"/>
      <c r="I4" s="193"/>
      <c r="J4" s="194"/>
      <c r="K4" s="194"/>
    </row>
    <row r="5" spans="1:11" ht="15.75">
      <c r="A5" s="39" t="s">
        <v>13</v>
      </c>
      <c r="B5" s="42">
        <v>10000</v>
      </c>
      <c r="C5" s="43">
        <v>12</v>
      </c>
      <c r="D5" s="42"/>
      <c r="E5" s="42"/>
      <c r="F5" s="44" t="e">
        <f>IF(Kalkulator!#REF!="R",0,IF(Kalkulator!#REF!=1,SK!B5*SK!C5/12,Kalkulator!#REF!*B5*C5/12))</f>
        <v>#REF!</v>
      </c>
      <c r="G5" s="41">
        <f>IF(D5="x",F5,0)</f>
        <v>0</v>
      </c>
      <c r="H5" s="45"/>
      <c r="I5" s="193"/>
      <c r="J5" s="194"/>
      <c r="K5" s="194"/>
    </row>
    <row r="6" spans="1:11" ht="15.75">
      <c r="A6" s="39" t="s">
        <v>14</v>
      </c>
      <c r="B6" s="42">
        <v>3000</v>
      </c>
      <c r="C6" s="43">
        <v>12</v>
      </c>
      <c r="D6" s="42"/>
      <c r="E6" s="42"/>
      <c r="F6" s="44" t="e">
        <f>IF(Kalkulator!#REF!="R",0,IF(Kalkulator!#REF!=1,SK!B6*SK!C6/12,Kalkulator!#REF!*B6*C6/12))</f>
        <v>#REF!</v>
      </c>
      <c r="G6" s="41">
        <f t="shared" ref="G6:G24" si="0">IF(D6="x",F6,0)</f>
        <v>0</v>
      </c>
      <c r="H6" s="45"/>
      <c r="I6" s="52"/>
      <c r="J6" s="53"/>
      <c r="K6" s="53"/>
    </row>
    <row r="7" spans="1:11" ht="15.75">
      <c r="A7" s="39" t="s">
        <v>15</v>
      </c>
      <c r="B7" s="42">
        <v>1000</v>
      </c>
      <c r="C7" s="43">
        <v>12</v>
      </c>
      <c r="D7" s="42"/>
      <c r="E7" s="42"/>
      <c r="F7" s="44" t="e">
        <f>IF(Kalkulator!#REF!="R",0,IF(Kalkulator!#REF!=1,SK!B7*SK!C7/12,Kalkulator!#REF!*B7*C7/12))</f>
        <v>#REF!</v>
      </c>
      <c r="G7" s="41">
        <f t="shared" si="0"/>
        <v>0</v>
      </c>
      <c r="H7" s="45"/>
      <c r="I7" s="190"/>
      <c r="J7" s="190"/>
      <c r="K7" s="190"/>
    </row>
    <row r="8" spans="1:11" ht="15.75">
      <c r="A8" s="39" t="s">
        <v>16</v>
      </c>
      <c r="B8" s="42">
        <v>500</v>
      </c>
      <c r="C8" s="43">
        <v>12</v>
      </c>
      <c r="D8" s="42"/>
      <c r="E8" s="42"/>
      <c r="F8" s="44" t="e">
        <f>IF(Kalkulator!#REF!="R",0,IF(Kalkulator!#REF!=1,SK!B8*SK!C8/12,Kalkulator!#REF!*B8*C8/12))</f>
        <v>#REF!</v>
      </c>
      <c r="G8" s="41">
        <f t="shared" si="0"/>
        <v>0</v>
      </c>
      <c r="H8" s="45"/>
      <c r="I8" s="160"/>
      <c r="J8" s="52"/>
      <c r="K8" s="52"/>
    </row>
    <row r="9" spans="1:11" ht="15.75">
      <c r="A9" s="39" t="s">
        <v>17</v>
      </c>
      <c r="B9" s="42">
        <v>200</v>
      </c>
      <c r="C9" s="43">
        <v>12</v>
      </c>
      <c r="D9" s="42"/>
      <c r="E9" s="42"/>
      <c r="F9" s="44" t="e">
        <f>IF(Kalkulator!#REF!="R",0,IF(Kalkulator!#REF!=1,SK!B9*SK!C9/12,Kalkulator!#REF!*B9*C9/12))</f>
        <v>#REF!</v>
      </c>
      <c r="G9" s="41">
        <f t="shared" si="0"/>
        <v>0</v>
      </c>
      <c r="H9" s="45"/>
      <c r="I9" s="52"/>
      <c r="J9" s="161"/>
      <c r="K9" s="161"/>
    </row>
    <row r="10" spans="1:11" ht="15.75">
      <c r="A10" s="39" t="s">
        <v>18</v>
      </c>
      <c r="B10" s="42">
        <v>0</v>
      </c>
      <c r="C10" s="43"/>
      <c r="D10" s="42"/>
      <c r="E10" s="42"/>
      <c r="F10" s="44" t="e">
        <f>IF(Kalkulator!#REF!="R",0,IF(Kalkulator!#REF!=1,SK!B10*SK!C10/12,Kalkulator!#REF!*B10*C10/12))</f>
        <v>#REF!</v>
      </c>
      <c r="G10" s="41">
        <f t="shared" si="0"/>
        <v>0</v>
      </c>
      <c r="H10" s="45"/>
      <c r="I10" s="52"/>
      <c r="J10" s="161"/>
      <c r="K10" s="161"/>
    </row>
    <row r="11" spans="1:11" ht="15.75">
      <c r="A11" s="39" t="s">
        <v>19</v>
      </c>
      <c r="B11" s="42">
        <v>3000</v>
      </c>
      <c r="C11" s="43">
        <v>12</v>
      </c>
      <c r="D11" s="42"/>
      <c r="E11" s="42"/>
      <c r="F11" s="44" t="e">
        <f>IF(Kalkulator!#REF!="R",0,IF(Kalkulator!#REF!=1,SK!B11*SK!C11/12,Kalkulator!#REF!*B11*C11/12))</f>
        <v>#REF!</v>
      </c>
      <c r="G11" s="41">
        <f t="shared" si="0"/>
        <v>0</v>
      </c>
      <c r="H11" s="45"/>
      <c r="I11" s="52"/>
      <c r="J11" s="161"/>
      <c r="K11" s="161"/>
    </row>
    <row r="12" spans="1:11" ht="15.75">
      <c r="A12" s="39" t="s">
        <v>20</v>
      </c>
      <c r="B12" s="42">
        <v>1000</v>
      </c>
      <c r="C12" s="43">
        <v>12</v>
      </c>
      <c r="D12" s="42"/>
      <c r="E12" s="42"/>
      <c r="F12" s="44" t="e">
        <f>IF(Kalkulator!#REF!="R",0,IF(Kalkulator!#REF!=1,SK!B12*SK!C12/12,Kalkulator!#REF!*B12*C12/12))</f>
        <v>#REF!</v>
      </c>
      <c r="G12" s="41">
        <f t="shared" si="0"/>
        <v>0</v>
      </c>
      <c r="H12" s="45"/>
      <c r="I12" s="52"/>
      <c r="J12" s="161"/>
      <c r="K12" s="161"/>
    </row>
    <row r="13" spans="1:11" ht="15.75">
      <c r="A13" s="39" t="s">
        <v>21</v>
      </c>
      <c r="B13" s="42">
        <v>500</v>
      </c>
      <c r="C13" s="43">
        <v>12</v>
      </c>
      <c r="D13" s="42"/>
      <c r="E13" s="42"/>
      <c r="F13" s="44" t="e">
        <f>IF(Kalkulator!#REF!="R",0,IF(Kalkulator!#REF!=1,SK!B13*SK!C13/12,Kalkulator!#REF!*B13*C13/12))</f>
        <v>#REF!</v>
      </c>
      <c r="G13" s="41">
        <f t="shared" si="0"/>
        <v>0</v>
      </c>
      <c r="H13" s="45"/>
      <c r="I13" s="52"/>
      <c r="J13" s="161"/>
      <c r="K13" s="161"/>
    </row>
    <row r="14" spans="1:11" ht="15.75">
      <c r="A14" s="39" t="s">
        <v>22</v>
      </c>
      <c r="B14" s="42">
        <v>300</v>
      </c>
      <c r="C14" s="43">
        <v>12</v>
      </c>
      <c r="D14" s="42"/>
      <c r="E14" s="42"/>
      <c r="F14" s="44" t="e">
        <f>IF(Kalkulator!#REF!="R",0,IF(Kalkulator!#REF!=1,SK!B14*SK!C14/12,Kalkulator!#REF!*B14*C14/12))</f>
        <v>#REF!</v>
      </c>
      <c r="G14" s="41">
        <f t="shared" si="0"/>
        <v>0</v>
      </c>
      <c r="H14" s="45"/>
      <c r="I14" s="52"/>
      <c r="J14" s="161"/>
      <c r="K14" s="161"/>
    </row>
    <row r="15" spans="1:11" ht="15.75">
      <c r="A15" s="39" t="s">
        <v>23</v>
      </c>
      <c r="B15" s="42">
        <v>0</v>
      </c>
      <c r="C15" s="46">
        <v>12</v>
      </c>
      <c r="D15" s="42"/>
      <c r="E15" s="42"/>
      <c r="F15" s="44" t="e">
        <f>IF(Kalkulator!#REF!="R",0,IF(Kalkulator!#REF!=1,SK!B15*SK!C15/12,Kalkulator!#REF!*B15*C15/12))</f>
        <v>#REF!</v>
      </c>
      <c r="G15" s="41">
        <f t="shared" si="0"/>
        <v>0</v>
      </c>
      <c r="H15" s="45"/>
      <c r="I15" s="52"/>
      <c r="J15" s="53"/>
      <c r="K15" s="53"/>
    </row>
    <row r="16" spans="1:11" ht="15.75">
      <c r="A16" s="39" t="s">
        <v>24</v>
      </c>
      <c r="B16" s="42">
        <v>0</v>
      </c>
      <c r="C16" s="46">
        <v>12</v>
      </c>
      <c r="D16" s="42"/>
      <c r="E16" s="42"/>
      <c r="F16" s="44" t="e">
        <f>IF(Kalkulator!#REF!="R",0,IF(Kalkulator!#REF!=1,SK!B16*SK!C16/12,Kalkulator!#REF!*B16*C16/12))</f>
        <v>#REF!</v>
      </c>
      <c r="G16" s="41">
        <f t="shared" si="0"/>
        <v>0</v>
      </c>
      <c r="H16" s="45"/>
      <c r="I16" s="52"/>
      <c r="J16" s="161"/>
      <c r="K16" s="161"/>
    </row>
    <row r="17" spans="1:11" ht="15.75">
      <c r="A17" s="39" t="s">
        <v>25</v>
      </c>
      <c r="B17" s="42">
        <v>3500</v>
      </c>
      <c r="C17" s="43">
        <v>12</v>
      </c>
      <c r="D17" s="42"/>
      <c r="E17" s="42"/>
      <c r="F17" s="44" t="e">
        <f>IF(Kalkulator!#REF!="R",0,IF(Kalkulator!#REF!=1,SK!B17*SK!C17/12,Kalkulator!#REF!*B17*C17/12))</f>
        <v>#REF!</v>
      </c>
      <c r="G17" s="41">
        <f t="shared" si="0"/>
        <v>0</v>
      </c>
      <c r="H17" s="45"/>
      <c r="I17" s="52"/>
      <c r="J17" s="161"/>
      <c r="K17" s="161"/>
    </row>
    <row r="18" spans="1:11" ht="15.75">
      <c r="A18" s="39" t="s">
        <v>26</v>
      </c>
      <c r="B18" s="42">
        <v>1000</v>
      </c>
      <c r="C18" s="43">
        <v>12</v>
      </c>
      <c r="D18" s="42"/>
      <c r="E18" s="42"/>
      <c r="F18" s="44" t="e">
        <f>IF(Kalkulator!#REF!="R",0,IF(Kalkulator!#REF!=1,SK!B18*SK!C18/12,Kalkulator!#REF!*B18*C18/12))</f>
        <v>#REF!</v>
      </c>
      <c r="G18" s="41">
        <f t="shared" si="0"/>
        <v>0</v>
      </c>
      <c r="H18" s="45"/>
      <c r="I18" s="52"/>
      <c r="J18" s="53"/>
      <c r="K18" s="53"/>
    </row>
    <row r="19" spans="1:11" ht="6" customHeight="1">
      <c r="A19" s="39"/>
      <c r="B19" s="42"/>
      <c r="C19" s="43"/>
      <c r="D19" s="42"/>
      <c r="E19" s="42"/>
      <c r="F19" s="47"/>
      <c r="G19" s="41"/>
      <c r="H19" s="45"/>
      <c r="I19" s="160"/>
      <c r="J19" s="53"/>
      <c r="K19" s="53"/>
    </row>
    <row r="20" spans="1:11" ht="15.75">
      <c r="A20" s="39" t="s">
        <v>27</v>
      </c>
      <c r="B20" s="42">
        <f>SUM(B5:B18)</f>
        <v>24000</v>
      </c>
      <c r="C20" s="43"/>
      <c r="D20" s="42"/>
      <c r="E20" s="42">
        <f>SUM(E5:E18)</f>
        <v>0</v>
      </c>
      <c r="F20" s="47" t="e">
        <f>SUM(F5:F18)</f>
        <v>#REF!</v>
      </c>
      <c r="G20" s="41">
        <f>SUM(G5:G19)</f>
        <v>0</v>
      </c>
      <c r="H20" s="45"/>
      <c r="I20" s="162"/>
      <c r="J20" s="191"/>
      <c r="K20" s="191"/>
    </row>
    <row r="21" spans="1:11" ht="6" customHeight="1">
      <c r="A21" s="39"/>
      <c r="B21" s="42"/>
      <c r="C21" s="43"/>
      <c r="D21" s="42"/>
      <c r="E21" s="42"/>
      <c r="F21" s="47"/>
      <c r="G21" s="41"/>
      <c r="H21" s="45"/>
      <c r="I21" s="45"/>
      <c r="J21" s="39"/>
      <c r="K21" s="39"/>
    </row>
    <row r="22" spans="1:11" ht="15.75">
      <c r="A22" s="39" t="s">
        <v>28</v>
      </c>
      <c r="B22" s="42">
        <v>2400</v>
      </c>
      <c r="C22" s="43">
        <v>12</v>
      </c>
      <c r="D22" s="42"/>
      <c r="E22" s="42"/>
      <c r="F22" s="44" t="e">
        <f>IF(Kalkulator!#REF!="R",0,IF(Kalkulator!#REF!=1,SK!B22*SK!C22/12,Kalkulator!#REF!*B22*C22/12))</f>
        <v>#REF!</v>
      </c>
      <c r="G22" s="41">
        <f t="shared" si="0"/>
        <v>0</v>
      </c>
      <c r="H22" s="45"/>
      <c r="I22" s="45"/>
      <c r="J22" s="39"/>
      <c r="K22" s="39"/>
    </row>
    <row r="23" spans="1:11" ht="15.75">
      <c r="A23" s="39" t="s">
        <v>29</v>
      </c>
      <c r="B23" s="42">
        <v>3200</v>
      </c>
      <c r="C23" s="43">
        <v>12</v>
      </c>
      <c r="D23" s="42"/>
      <c r="E23" s="42"/>
      <c r="F23" s="44" t="e">
        <f>IF(Kalkulator!#REF!="R",0,IF(Kalkulator!#REF!=1,SK!B23*SK!C23/12,Kalkulator!#REF!*B23*C23/12))</f>
        <v>#REF!</v>
      </c>
      <c r="G23" s="41">
        <f t="shared" si="0"/>
        <v>0</v>
      </c>
      <c r="H23" s="45"/>
      <c r="I23" s="45"/>
      <c r="J23" s="39"/>
      <c r="K23" s="39"/>
    </row>
    <row r="24" spans="1:11" ht="15.75">
      <c r="A24" s="39" t="s">
        <v>30</v>
      </c>
      <c r="B24" s="42">
        <v>400</v>
      </c>
      <c r="C24" s="43">
        <v>12</v>
      </c>
      <c r="D24" s="42"/>
      <c r="E24" s="42"/>
      <c r="F24" s="44" t="e">
        <f>IF(Kalkulator!#REF!="R",0,IF(Kalkulator!#REF!=1,SK!B24*SK!C24/12,Kalkulator!#REF!*B24*C24/12))</f>
        <v>#REF!</v>
      </c>
      <c r="G24" s="41">
        <f t="shared" si="0"/>
        <v>0</v>
      </c>
      <c r="H24" s="45"/>
      <c r="I24" s="45"/>
      <c r="J24" s="39"/>
      <c r="K24" s="39"/>
    </row>
    <row r="25" spans="1:11" ht="6" customHeight="1">
      <c r="A25" s="39"/>
      <c r="B25" s="42"/>
      <c r="C25" s="43"/>
      <c r="D25" s="42"/>
      <c r="E25" s="42"/>
      <c r="F25" s="47"/>
      <c r="G25" s="41"/>
      <c r="H25" s="45"/>
      <c r="I25" s="45"/>
      <c r="J25" s="39"/>
      <c r="K25" s="39"/>
    </row>
    <row r="26" spans="1:11" ht="15.75">
      <c r="A26" s="39" t="s">
        <v>48</v>
      </c>
      <c r="B26" s="42">
        <f>SUM(B22:B25)</f>
        <v>6000</v>
      </c>
      <c r="C26" s="43"/>
      <c r="D26" s="42"/>
      <c r="E26" s="42">
        <f>SUM(E22:E24)</f>
        <v>0</v>
      </c>
      <c r="F26" s="47" t="e">
        <f>SUM(F22:F25)</f>
        <v>#REF!</v>
      </c>
      <c r="G26" s="41">
        <f>SUM(G22:G24)</f>
        <v>0</v>
      </c>
      <c r="H26" s="45"/>
      <c r="I26" s="45"/>
      <c r="J26" s="39"/>
      <c r="K26" s="39"/>
    </row>
    <row r="27" spans="1:11" ht="6" customHeight="1">
      <c r="A27" s="39"/>
      <c r="B27" s="42"/>
      <c r="C27" s="43"/>
      <c r="D27" s="42"/>
      <c r="E27" s="42"/>
      <c r="F27" s="47"/>
      <c r="G27" s="41"/>
      <c r="H27" s="45"/>
      <c r="I27" s="45"/>
      <c r="J27" s="39"/>
      <c r="K27" s="39"/>
    </row>
    <row r="28" spans="1:11" ht="15.75">
      <c r="A28" s="48" t="s">
        <v>31</v>
      </c>
      <c r="B28" s="49">
        <f>B20+B26</f>
        <v>30000</v>
      </c>
      <c r="C28" s="50"/>
      <c r="D28" s="49"/>
      <c r="E28" s="49">
        <f>E20+E26</f>
        <v>0</v>
      </c>
      <c r="F28" s="51" t="e">
        <f>F20+F26</f>
        <v>#REF!</v>
      </c>
      <c r="G28" s="41">
        <f>G20+G26</f>
        <v>0</v>
      </c>
      <c r="H28" s="45"/>
      <c r="I28" s="45"/>
      <c r="J28" s="39"/>
      <c r="K28" s="39"/>
    </row>
    <row r="29" spans="1:11" ht="6" customHeight="1">
      <c r="A29" s="39"/>
      <c r="B29" s="40"/>
      <c r="C29" s="39"/>
      <c r="D29" s="40"/>
      <c r="E29" s="40"/>
      <c r="F29" s="39"/>
      <c r="G29" s="41"/>
      <c r="H29" s="45"/>
      <c r="I29" s="45"/>
      <c r="J29" s="39"/>
      <c r="K29" s="39"/>
    </row>
    <row r="30" spans="1:11" ht="7.5" customHeight="1">
      <c r="A30" s="39"/>
      <c r="B30" s="52"/>
      <c r="C30" s="53"/>
      <c r="D30" s="52"/>
      <c r="E30" s="52"/>
      <c r="F30" s="44"/>
      <c r="G30" s="41"/>
      <c r="H30" s="45"/>
      <c r="I30" s="45"/>
      <c r="J30" s="39"/>
      <c r="K30" s="39"/>
    </row>
    <row r="31" spans="1:11" ht="15.75">
      <c r="A31" s="39" t="s">
        <v>32</v>
      </c>
      <c r="B31" s="42">
        <v>6000</v>
      </c>
      <c r="C31" s="43">
        <v>12</v>
      </c>
      <c r="D31" s="40"/>
      <c r="E31" s="40"/>
      <c r="F31" s="44" t="e">
        <f>IF(Kalkulator!#REF!="R",0,IF(Kalkulator!#REF!=1,SK!B31*SK!C31/12,Kalkulator!#REF!*B31*C31/12))</f>
        <v>#REF!</v>
      </c>
      <c r="G31" s="41"/>
      <c r="H31" s="45"/>
      <c r="I31" s="45"/>
      <c r="J31" s="39"/>
      <c r="K31" s="39"/>
    </row>
    <row r="32" spans="1:11" ht="15.75">
      <c r="A32" s="39" t="s">
        <v>33</v>
      </c>
      <c r="B32" s="42">
        <v>3000</v>
      </c>
      <c r="C32" s="43">
        <v>12</v>
      </c>
      <c r="D32" s="40"/>
      <c r="E32" s="40"/>
      <c r="F32" s="44" t="e">
        <f>IF(Kalkulator!#REF!="R",0,IF(Kalkulator!#REF!=1,SK!B32*SK!C32/12,Kalkulator!#REF!*B32*C32/12))</f>
        <v>#REF!</v>
      </c>
      <c r="G32" s="41"/>
      <c r="H32" s="45"/>
      <c r="I32" s="45"/>
      <c r="J32" s="39"/>
      <c r="K32" s="39"/>
    </row>
    <row r="33" spans="1:11" ht="7.5" customHeight="1">
      <c r="A33" s="39"/>
      <c r="B33" s="39"/>
      <c r="C33" s="40"/>
      <c r="D33" s="40"/>
      <c r="E33" s="40"/>
      <c r="F33" s="39"/>
      <c r="G33" s="41"/>
      <c r="H33" s="45"/>
      <c r="I33" s="45"/>
      <c r="J33" s="39"/>
      <c r="K33" s="39"/>
    </row>
    <row r="34" spans="1:11" ht="15.75">
      <c r="A34" s="48" t="s">
        <v>34</v>
      </c>
      <c r="B34" s="51">
        <f>SUM(B31:B32)</f>
        <v>9000</v>
      </c>
      <c r="C34" s="54"/>
      <c r="D34" s="54"/>
      <c r="E34" s="49">
        <f>SUM(E31:E32)</f>
        <v>0</v>
      </c>
      <c r="F34" s="51" t="e">
        <f>SUM(F31:F32)</f>
        <v>#REF!</v>
      </c>
      <c r="G34" s="41"/>
      <c r="H34" s="45"/>
      <c r="I34" s="45"/>
      <c r="J34" s="39"/>
      <c r="K34" s="39"/>
    </row>
    <row r="35" spans="1:11" ht="7.5" customHeight="1">
      <c r="A35" s="39"/>
      <c r="B35" s="39"/>
      <c r="C35" s="40"/>
      <c r="D35" s="40"/>
      <c r="E35" s="40"/>
      <c r="F35" s="39"/>
      <c r="G35" s="41"/>
      <c r="H35" s="45"/>
      <c r="I35" s="45"/>
      <c r="J35" s="39"/>
      <c r="K35" s="39"/>
    </row>
    <row r="36" spans="1:11" ht="15.75">
      <c r="A36" s="39" t="s">
        <v>35</v>
      </c>
      <c r="B36" s="42">
        <v>26000</v>
      </c>
      <c r="C36" s="43">
        <v>12</v>
      </c>
      <c r="D36" s="40"/>
      <c r="E36" s="40"/>
      <c r="F36" s="44" t="e">
        <f>IF(Kalkulator!#REF!="R",0,IF(Kalkulator!#REF!=1,SK!B36*SK!C36/12,Kalkulator!#REF!*B36*C36/12))</f>
        <v>#REF!</v>
      </c>
      <c r="G36" s="41"/>
      <c r="H36" s="45"/>
      <c r="I36" s="45"/>
      <c r="J36" s="39"/>
      <c r="K36" s="39"/>
    </row>
    <row r="37" spans="1:11" ht="15.75">
      <c r="A37" s="39" t="s">
        <v>71</v>
      </c>
      <c r="B37" s="42">
        <v>4000</v>
      </c>
      <c r="C37" s="43">
        <v>12</v>
      </c>
      <c r="D37" s="40"/>
      <c r="E37" s="40"/>
      <c r="F37" s="44" t="e">
        <f>IF(Kalkulator!#REF!="R",0,IF(Kalkulator!#REF!=1,SK!B37*SK!C37/12,Kalkulator!#REF!*B37*C37/12))</f>
        <v>#REF!</v>
      </c>
      <c r="G37" s="41"/>
      <c r="H37" s="45"/>
      <c r="I37" s="45"/>
      <c r="J37" s="39"/>
      <c r="K37" s="39"/>
    </row>
    <row r="38" spans="1:11" ht="7.5" customHeight="1">
      <c r="A38" s="39"/>
      <c r="B38" s="42"/>
      <c r="C38" s="43"/>
      <c r="D38" s="40"/>
      <c r="E38" s="40"/>
      <c r="F38" s="39"/>
      <c r="G38" s="41"/>
      <c r="H38" s="45"/>
      <c r="I38" s="45"/>
      <c r="J38" s="39"/>
      <c r="K38" s="39"/>
    </row>
    <row r="39" spans="1:11" ht="15.75">
      <c r="A39" s="48" t="s">
        <v>36</v>
      </c>
      <c r="B39" s="49">
        <f>SUM(B36:B37)</f>
        <v>30000</v>
      </c>
      <c r="C39" s="50"/>
      <c r="D39" s="54"/>
      <c r="E39" s="49">
        <f>SUM(E36:E36)</f>
        <v>0</v>
      </c>
      <c r="F39" s="51" t="e">
        <f>SUM(F36:F37)</f>
        <v>#REF!</v>
      </c>
      <c r="G39" s="41"/>
      <c r="H39" s="45"/>
      <c r="I39" s="45"/>
      <c r="J39" s="39"/>
      <c r="K39" s="39"/>
    </row>
    <row r="40" spans="1:11" ht="7.5" customHeight="1">
      <c r="A40" s="39"/>
      <c r="B40" s="42"/>
      <c r="C40" s="43"/>
      <c r="D40" s="40"/>
      <c r="E40" s="40"/>
      <c r="F40" s="39"/>
      <c r="G40" s="41"/>
      <c r="H40" s="45"/>
      <c r="I40" s="45"/>
      <c r="J40" s="39"/>
      <c r="K40" s="39"/>
    </row>
    <row r="41" spans="1:11" ht="15.75" customHeight="1">
      <c r="A41" s="39" t="s">
        <v>101</v>
      </c>
      <c r="B41" s="42">
        <v>30000</v>
      </c>
      <c r="C41" s="43" t="e">
        <f>Kalkulator!#REF!</f>
        <v>#REF!</v>
      </c>
      <c r="D41" s="40"/>
      <c r="E41" s="40"/>
      <c r="F41" s="41" t="e">
        <f>IF(Kalkulator!#REF!="R",0,IF(Kalkulator!#REF!=1,SK!B41*SK!C41/12,Kalkulator!#REF!*B41*C41/12))</f>
        <v>#REF!</v>
      </c>
      <c r="G41" s="41"/>
      <c r="H41" s="45"/>
      <c r="I41" s="45"/>
      <c r="J41" s="39"/>
      <c r="K41" s="39"/>
    </row>
    <row r="42" spans="1:11" ht="7.5" customHeight="1">
      <c r="A42" s="39"/>
      <c r="B42" s="42"/>
      <c r="C42" s="43"/>
      <c r="D42" s="40"/>
      <c r="E42" s="40"/>
      <c r="F42" s="39"/>
      <c r="G42" s="41"/>
      <c r="H42" s="45"/>
      <c r="I42" s="45"/>
      <c r="J42" s="39"/>
      <c r="K42" s="39"/>
    </row>
    <row r="43" spans="1:11" ht="15.75">
      <c r="A43" s="48" t="s">
        <v>101</v>
      </c>
      <c r="B43" s="49">
        <v>30000</v>
      </c>
      <c r="C43" s="50"/>
      <c r="D43" s="54"/>
      <c r="E43" s="54"/>
      <c r="F43" s="55" t="e">
        <f>SUM(F41:F41)</f>
        <v>#REF!</v>
      </c>
      <c r="G43" s="41"/>
      <c r="H43" s="45"/>
      <c r="I43" s="45"/>
      <c r="J43" s="39"/>
      <c r="K43" s="39"/>
    </row>
    <row r="44" spans="1:11" ht="7.5" customHeight="1">
      <c r="A44" s="39"/>
      <c r="B44" s="42"/>
      <c r="C44" s="43"/>
      <c r="D44" s="40"/>
      <c r="E44" s="40"/>
      <c r="F44" s="39"/>
      <c r="G44" s="41"/>
      <c r="H44" s="45"/>
      <c r="I44" s="45"/>
      <c r="J44" s="39"/>
      <c r="K44" s="39"/>
    </row>
    <row r="45" spans="1:11" s="4" customFormat="1" ht="15.75">
      <c r="A45" s="56" t="s">
        <v>50</v>
      </c>
      <c r="B45" s="56"/>
      <c r="C45" s="57"/>
      <c r="D45" s="57"/>
      <c r="E45" s="58"/>
      <c r="F45" s="59" t="e">
        <f>F28+F34+F39+F43</f>
        <v>#REF!</v>
      </c>
      <c r="G45" s="60"/>
      <c r="H45" s="61"/>
      <c r="I45" s="61"/>
      <c r="J45" s="62"/>
      <c r="K45" s="62"/>
    </row>
    <row r="46" spans="1:11" ht="7.5" customHeight="1">
      <c r="A46" s="53"/>
      <c r="B46" s="53"/>
      <c r="C46" s="52"/>
      <c r="D46" s="52"/>
      <c r="E46" s="63"/>
      <c r="F46" s="44"/>
      <c r="G46" s="41"/>
      <c r="H46" s="45"/>
      <c r="I46" s="45"/>
      <c r="J46" s="39"/>
      <c r="K46" s="39"/>
    </row>
    <row r="47" spans="1:11" ht="15.75">
      <c r="A47" s="48" t="s">
        <v>56</v>
      </c>
      <c r="B47" s="53"/>
      <c r="C47" s="52"/>
      <c r="D47" s="52"/>
      <c r="E47" s="49">
        <f>E28+E34+E39</f>
        <v>0</v>
      </c>
      <c r="F47" s="44"/>
      <c r="G47" s="41"/>
      <c r="H47" s="45"/>
      <c r="I47" s="45"/>
      <c r="J47" s="39"/>
      <c r="K47" s="39"/>
    </row>
    <row r="48" spans="1:11" ht="15.75">
      <c r="A48" s="48" t="s">
        <v>49</v>
      </c>
      <c r="B48" s="53"/>
      <c r="C48" s="52"/>
      <c r="D48" s="52"/>
      <c r="E48" s="49" t="e">
        <f>IF(E47&lt;=F45,E47,F45)</f>
        <v>#REF!</v>
      </c>
      <c r="F48" s="44"/>
      <c r="G48" s="41"/>
      <c r="H48" s="45"/>
      <c r="I48" s="45"/>
      <c r="J48" s="39"/>
      <c r="K48" s="39"/>
    </row>
    <row r="49" spans="1:11" ht="7.5" customHeight="1" thickBot="1">
      <c r="A49" s="53"/>
      <c r="B49" s="53"/>
      <c r="C49" s="52"/>
      <c r="D49" s="52"/>
      <c r="E49" s="63"/>
      <c r="F49" s="44"/>
      <c r="G49" s="41"/>
      <c r="H49" s="45"/>
      <c r="I49" s="45"/>
      <c r="J49" s="39"/>
      <c r="K49" s="39"/>
    </row>
    <row r="50" spans="1:11" s="4" customFormat="1" ht="16.5" thickBot="1">
      <c r="A50" s="64" t="s">
        <v>108</v>
      </c>
      <c r="B50" s="65"/>
      <c r="C50" s="66"/>
      <c r="D50" s="66"/>
      <c r="E50" s="67"/>
      <c r="F50" s="68" t="e">
        <f>F45-E48</f>
        <v>#REF!</v>
      </c>
      <c r="G50" s="60"/>
      <c r="H50" s="61"/>
      <c r="I50" s="61"/>
      <c r="J50" s="62"/>
      <c r="K50" s="62"/>
    </row>
    <row r="51" spans="1:11" ht="15.75">
      <c r="A51" s="39"/>
      <c r="B51" s="39"/>
      <c r="C51" s="40"/>
      <c r="D51" s="40"/>
      <c r="E51" s="40"/>
      <c r="F51" s="39"/>
      <c r="G51" s="41"/>
      <c r="H51" s="39"/>
      <c r="I51" s="39"/>
      <c r="J51" s="39"/>
      <c r="K51" s="39"/>
    </row>
    <row r="52" spans="1:11" ht="15.75">
      <c r="A52" s="39" t="s">
        <v>37</v>
      </c>
      <c r="B52" s="39"/>
      <c r="C52" s="40"/>
      <c r="D52" s="40"/>
      <c r="E52" s="40"/>
      <c r="F52" s="39"/>
      <c r="G52" s="41"/>
      <c r="H52" s="39"/>
      <c r="I52" s="39"/>
      <c r="J52" s="39"/>
      <c r="K52" s="39"/>
    </row>
  </sheetData>
  <sheetProtection password="E1F6" sheet="1" objects="1" scenarios="1"/>
  <mergeCells count="9">
    <mergeCell ref="D2:E2"/>
    <mergeCell ref="B1:E1"/>
    <mergeCell ref="F1:F3"/>
    <mergeCell ref="I7:K7"/>
    <mergeCell ref="J20:K20"/>
    <mergeCell ref="I2:K2"/>
    <mergeCell ref="I4:I5"/>
    <mergeCell ref="J4:J5"/>
    <mergeCell ref="K4:K5"/>
  </mergeCells>
  <phoneticPr fontId="2" type="noConversion"/>
  <pageMargins left="0.78740157480314965" right="0.78740157480314965" top="0.74" bottom="0.52" header="0.51181102362204722" footer="0.51181102362204722"/>
  <pageSetup paperSize="9" scale="72" orientation="landscape" r:id="rId1"/>
  <headerFooter alignWithMargins="0">
    <oddHeader>&amp;C&amp;"Arial Black,Normal"&amp;12Bilag 1 (Side 2) - Beregning av årskostnad 2010 - Data fra Statens kartverk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29"/>
  <sheetViews>
    <sheetView workbookViewId="0">
      <selection activeCell="G24" sqref="G24"/>
    </sheetView>
  </sheetViews>
  <sheetFormatPr baseColWidth="10" defaultRowHeight="15.75"/>
  <cols>
    <col min="1" max="1" width="41.28515625" style="5" customWidth="1"/>
    <col min="2" max="2" width="15.42578125" style="7" bestFit="1" customWidth="1"/>
    <col min="3" max="3" width="14.85546875" style="5" customWidth="1"/>
    <col min="4" max="4" width="14.85546875" style="5" hidden="1" customWidth="1"/>
    <col min="5" max="5" width="14.140625" style="5" bestFit="1" customWidth="1"/>
    <col min="6" max="6" width="15.85546875" style="5" customWidth="1"/>
    <col min="7" max="7" width="20.7109375" style="7" customWidth="1"/>
    <col min="8" max="8" width="15.85546875" style="7" customWidth="1"/>
    <col min="9" max="9" width="11.42578125" style="8"/>
    <col min="10" max="16384" width="11.42578125" style="5"/>
  </cols>
  <sheetData>
    <row r="2" spans="1:9" ht="16.5" thickBot="1">
      <c r="A2" s="62"/>
      <c r="B2" s="41"/>
      <c r="C2" s="39"/>
      <c r="D2" s="39"/>
      <c r="E2" s="39"/>
      <c r="F2" s="39"/>
      <c r="G2" s="41"/>
      <c r="H2" s="41"/>
    </row>
    <row r="3" spans="1:9">
      <c r="A3" s="87" t="s">
        <v>116</v>
      </c>
      <c r="B3" s="88"/>
      <c r="C3" s="89"/>
      <c r="D3" s="89"/>
      <c r="E3" s="90" t="e">
        <f>Kalkulator!#REF!</f>
        <v>#REF!</v>
      </c>
      <c r="F3" s="195" t="s">
        <v>117</v>
      </c>
      <c r="G3" s="196"/>
      <c r="H3" s="91"/>
    </row>
    <row r="4" spans="1:9" s="10" customFormat="1" ht="48" thickBot="1">
      <c r="A4" s="92"/>
      <c r="B4" s="93" t="s">
        <v>45</v>
      </c>
      <c r="C4" s="94" t="s">
        <v>46</v>
      </c>
      <c r="D4" s="94" t="s">
        <v>68</v>
      </c>
      <c r="E4" s="94" t="s">
        <v>118</v>
      </c>
      <c r="F4" s="95" t="s">
        <v>61</v>
      </c>
      <c r="G4" s="96" t="s">
        <v>59</v>
      </c>
      <c r="H4" s="97" t="s">
        <v>47</v>
      </c>
      <c r="I4" s="9"/>
    </row>
    <row r="5" spans="1:9">
      <c r="A5" s="98" t="s">
        <v>39</v>
      </c>
      <c r="B5" s="99"/>
      <c r="C5" s="100">
        <v>0</v>
      </c>
      <c r="D5" s="100">
        <f t="shared" ref="D5:D10" si="0">B5*C5/12</f>
        <v>0</v>
      </c>
      <c r="E5" s="100" t="e">
        <f>IF(Kalkulator!#REF!="R",0,IF(Kalkulator!#REF!=1,B5*C5/12,Kalkulator!#REF!*'Andre kommuner'!B5*'Andre kommuner'!C5/12))</f>
        <v>#REF!</v>
      </c>
      <c r="F5" s="101"/>
      <c r="G5" s="102">
        <f t="shared" ref="G5:G10" si="1">IF(F5="A",E5,0)</f>
        <v>0</v>
      </c>
      <c r="H5" s="103" t="e">
        <f t="shared" ref="H5:H10" si="2">E5-G5</f>
        <v>#REF!</v>
      </c>
    </row>
    <row r="6" spans="1:9">
      <c r="A6" s="104" t="s">
        <v>40</v>
      </c>
      <c r="B6" s="105">
        <v>4410</v>
      </c>
      <c r="C6" s="106">
        <v>12</v>
      </c>
      <c r="D6" s="106">
        <f t="shared" si="0"/>
        <v>4410</v>
      </c>
      <c r="E6" s="106" t="e">
        <f>IF(Kalkulator!#REF!="R",0,IF(Kalkulator!#REF!=1,B6*C6/12,Kalkulator!#REF!*'Andre kommuner'!B6*'Andre kommuner'!C6/12))</f>
        <v>#REF!</v>
      </c>
      <c r="F6" s="107"/>
      <c r="G6" s="108">
        <f t="shared" si="1"/>
        <v>0</v>
      </c>
      <c r="H6" s="109" t="e">
        <f t="shared" si="2"/>
        <v>#REF!</v>
      </c>
    </row>
    <row r="7" spans="1:9">
      <c r="A7" s="104" t="s">
        <v>41</v>
      </c>
      <c r="B7" s="105">
        <v>3260</v>
      </c>
      <c r="C7" s="106">
        <v>12</v>
      </c>
      <c r="D7" s="106">
        <f t="shared" si="0"/>
        <v>3260</v>
      </c>
      <c r="E7" s="106" t="e">
        <f>IF(Kalkulator!#REF!="R",0,IF(Kalkulator!#REF!=1,B7*C7/12,Kalkulator!#REF!*'Andre kommuner'!B7*'Andre kommuner'!C7/12))</f>
        <v>#REF!</v>
      </c>
      <c r="F7" s="107"/>
      <c r="G7" s="108">
        <f t="shared" si="1"/>
        <v>0</v>
      </c>
      <c r="H7" s="109" t="e">
        <f t="shared" si="2"/>
        <v>#REF!</v>
      </c>
    </row>
    <row r="8" spans="1:9">
      <c r="A8" s="104" t="s">
        <v>42</v>
      </c>
      <c r="B8" s="105">
        <v>4260</v>
      </c>
      <c r="C8" s="106">
        <v>12</v>
      </c>
      <c r="D8" s="106">
        <f t="shared" si="0"/>
        <v>4260</v>
      </c>
      <c r="E8" s="106" t="e">
        <f>IF(Kalkulator!#REF!="R",0,IF(Kalkulator!#REF!=1,B8*C8/12,Kalkulator!#REF!*'Andre kommuner'!B8*'Andre kommuner'!C8/12))</f>
        <v>#REF!</v>
      </c>
      <c r="F8" s="107"/>
      <c r="G8" s="108">
        <f t="shared" si="1"/>
        <v>0</v>
      </c>
      <c r="H8" s="109" t="e">
        <f t="shared" si="2"/>
        <v>#REF!</v>
      </c>
    </row>
    <row r="9" spans="1:9">
      <c r="A9" s="104" t="s">
        <v>43</v>
      </c>
      <c r="B9" s="105">
        <v>9510</v>
      </c>
      <c r="C9" s="106">
        <v>12</v>
      </c>
      <c r="D9" s="106">
        <f t="shared" si="0"/>
        <v>9510</v>
      </c>
      <c r="E9" s="106" t="e">
        <f>IF(Kalkulator!#REF!="R",0,IF(Kalkulator!#REF!=1,B9*C9/12,Kalkulator!#REF!*'Andre kommuner'!B9*'Andre kommuner'!C9/12))</f>
        <v>#REF!</v>
      </c>
      <c r="F9" s="107"/>
      <c r="G9" s="108">
        <f t="shared" si="1"/>
        <v>0</v>
      </c>
      <c r="H9" s="109" t="e">
        <f t="shared" si="2"/>
        <v>#REF!</v>
      </c>
    </row>
    <row r="10" spans="1:9" ht="16.5" thickBot="1">
      <c r="A10" s="122" t="s">
        <v>44</v>
      </c>
      <c r="B10" s="123">
        <v>8210</v>
      </c>
      <c r="C10" s="124">
        <v>12</v>
      </c>
      <c r="D10" s="124">
        <f t="shared" si="0"/>
        <v>8210</v>
      </c>
      <c r="E10" s="124" t="e">
        <f>IF(Kalkulator!#REF!="R",0,IF(Kalkulator!#REF!=1,B10*C10/12,Kalkulator!#REF!*'Andre kommuner'!B10*'Andre kommuner'!C10/12))</f>
        <v>#REF!</v>
      </c>
      <c r="F10" s="125"/>
      <c r="G10" s="126">
        <f t="shared" si="1"/>
        <v>0</v>
      </c>
      <c r="H10" s="127" t="e">
        <f t="shared" si="2"/>
        <v>#REF!</v>
      </c>
    </row>
    <row r="11" spans="1:9">
      <c r="A11" s="117"/>
      <c r="B11" s="111"/>
      <c r="C11" s="112"/>
      <c r="D11" s="112"/>
      <c r="E11" s="112"/>
      <c r="F11" s="112"/>
      <c r="G11" s="112"/>
      <c r="H11" s="128"/>
    </row>
    <row r="12" spans="1:9">
      <c r="A12" s="113" t="s">
        <v>60</v>
      </c>
      <c r="B12" s="111">
        <f>SUM(B6:B10)</f>
        <v>29650</v>
      </c>
      <c r="C12" s="112"/>
      <c r="D12" s="112"/>
      <c r="E12" s="114" t="e">
        <f>SUM(E5:E10)</f>
        <v>#REF!</v>
      </c>
      <c r="F12" s="115"/>
      <c r="G12" s="111"/>
      <c r="H12" s="129"/>
    </row>
    <row r="13" spans="1:9">
      <c r="A13" s="130" t="s">
        <v>57</v>
      </c>
      <c r="B13" s="111"/>
      <c r="C13" s="110"/>
      <c r="D13" s="110"/>
      <c r="E13" s="110"/>
      <c r="F13" s="110"/>
      <c r="G13" s="116">
        <f>SUM(G5:G10)</f>
        <v>0</v>
      </c>
      <c r="H13" s="129"/>
    </row>
    <row r="14" spans="1:9" ht="16.5" thickBot="1">
      <c r="A14" s="117"/>
      <c r="B14" s="111"/>
      <c r="C14" s="110"/>
      <c r="D14" s="110"/>
      <c r="E14" s="110"/>
      <c r="F14" s="110"/>
      <c r="G14" s="111"/>
      <c r="H14" s="129"/>
    </row>
    <row r="15" spans="1:9" s="6" customFormat="1" ht="16.5" thickBot="1">
      <c r="A15" s="118" t="s">
        <v>58</v>
      </c>
      <c r="B15" s="119"/>
      <c r="C15" s="120"/>
      <c r="D15" s="120"/>
      <c r="E15" s="120"/>
      <c r="F15" s="120"/>
      <c r="G15" s="120"/>
      <c r="H15" s="121" t="e">
        <f>SUM(H5:H10)</f>
        <v>#REF!</v>
      </c>
      <c r="I15" s="11"/>
    </row>
    <row r="16" spans="1:9">
      <c r="A16" s="39"/>
      <c r="B16" s="41"/>
      <c r="C16" s="39"/>
      <c r="D16" s="39"/>
      <c r="E16" s="39"/>
      <c r="F16" s="39"/>
      <c r="G16" s="41"/>
      <c r="H16" s="41"/>
    </row>
    <row r="17" spans="1:9">
      <c r="A17" s="8"/>
      <c r="B17" s="5"/>
      <c r="G17" s="5"/>
      <c r="H17" s="5"/>
      <c r="I17" s="5"/>
    </row>
    <row r="18" spans="1:9" s="13" customFormat="1">
      <c r="A18" s="12"/>
    </row>
    <row r="19" spans="1:9">
      <c r="A19" s="8"/>
      <c r="B19" s="5"/>
      <c r="G19" s="5"/>
      <c r="H19" s="5"/>
      <c r="I19" s="5"/>
    </row>
    <row r="20" spans="1:9">
      <c r="A20" s="8"/>
      <c r="B20" s="5"/>
      <c r="G20" s="5"/>
      <c r="H20" s="5"/>
      <c r="I20" s="5"/>
    </row>
    <row r="21" spans="1:9">
      <c r="A21" s="8"/>
      <c r="B21" s="5"/>
      <c r="G21" s="5"/>
      <c r="H21" s="5"/>
      <c r="I21" s="5"/>
    </row>
    <row r="22" spans="1:9">
      <c r="A22" s="8"/>
      <c r="B22" s="5"/>
      <c r="G22" s="5"/>
      <c r="H22" s="5"/>
      <c r="I22" s="5"/>
    </row>
    <row r="23" spans="1:9">
      <c r="A23" s="8"/>
      <c r="B23" s="5"/>
      <c r="G23" s="5"/>
      <c r="H23" s="5"/>
      <c r="I23" s="5"/>
    </row>
    <row r="24" spans="1:9">
      <c r="A24" s="8"/>
      <c r="B24" s="5"/>
      <c r="G24" s="5"/>
      <c r="H24" s="5"/>
      <c r="I24" s="5"/>
    </row>
    <row r="25" spans="1:9">
      <c r="A25" s="8"/>
      <c r="B25" s="5"/>
      <c r="G25" s="5"/>
      <c r="H25" s="5"/>
      <c r="I25" s="5"/>
    </row>
    <row r="26" spans="1:9">
      <c r="A26" s="8"/>
      <c r="B26" s="5"/>
      <c r="G26" s="5"/>
      <c r="H26" s="5"/>
      <c r="I26" s="5"/>
    </row>
    <row r="27" spans="1:9">
      <c r="A27" s="8"/>
      <c r="B27" s="5"/>
      <c r="G27" s="5"/>
      <c r="H27" s="5"/>
      <c r="I27" s="5"/>
    </row>
    <row r="28" spans="1:9">
      <c r="A28" s="8"/>
      <c r="B28" s="5"/>
      <c r="G28" s="5"/>
      <c r="H28" s="5"/>
      <c r="I28" s="5"/>
    </row>
    <row r="29" spans="1:9">
      <c r="E29" s="14"/>
    </row>
  </sheetData>
  <sheetProtection password="E1F6" sheet="1" objects="1" scenarios="1"/>
  <mergeCells count="1">
    <mergeCell ref="F3:G3"/>
  </mergeCells>
  <phoneticPr fontId="2" type="noConversion"/>
  <pageMargins left="0.78740157499999996" right="0.35" top="0.984251969" bottom="0.984251969" header="0.5" footer="0.5"/>
  <pageSetup paperSize="9" scale="98" orientation="landscape" r:id="rId1"/>
  <headerFooter alignWithMargins="0">
    <oddHeader>&amp;C&amp;"Arial Narrow,Halvfet"&amp;12Bilag 1 (Side 3) - Beregning av årskostnad 2010 - Data fra kommuner som ikke deltar i Geovekst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G40"/>
  <sheetViews>
    <sheetView showZeros="0" workbookViewId="0">
      <selection activeCell="H32" sqref="H32"/>
    </sheetView>
  </sheetViews>
  <sheetFormatPr baseColWidth="10" defaultRowHeight="12.75"/>
  <cols>
    <col min="1" max="1" width="23.140625" style="25" customWidth="1"/>
    <col min="2" max="3" width="3" style="25" bestFit="1" customWidth="1"/>
    <col min="4" max="4" width="5.140625" style="25" customWidth="1"/>
    <col min="5" max="16384" width="11.42578125" style="25"/>
  </cols>
  <sheetData>
    <row r="1" spans="1:7">
      <c r="E1" s="71" t="s">
        <v>72</v>
      </c>
      <c r="F1" s="71"/>
      <c r="G1" s="71"/>
    </row>
    <row r="2" spans="1:7">
      <c r="A2" s="25" t="s">
        <v>73</v>
      </c>
      <c r="E2" s="25" t="s">
        <v>74</v>
      </c>
      <c r="F2" s="25" t="s">
        <v>75</v>
      </c>
      <c r="G2" s="25" t="s">
        <v>76</v>
      </c>
    </row>
    <row r="3" spans="1:7" ht="76.5">
      <c r="A3" s="25" t="s">
        <v>77</v>
      </c>
      <c r="E3" s="72" t="s">
        <v>78</v>
      </c>
      <c r="F3" s="72" t="s">
        <v>79</v>
      </c>
      <c r="G3" s="72" t="s">
        <v>80</v>
      </c>
    </row>
    <row r="4" spans="1:7">
      <c r="A4" s="25" t="s">
        <v>95</v>
      </c>
      <c r="E4" s="73">
        <v>4000</v>
      </c>
      <c r="F4" s="73"/>
      <c r="G4" s="73"/>
    </row>
    <row r="5" spans="1:7">
      <c r="A5" s="25" t="s">
        <v>81</v>
      </c>
      <c r="E5" s="73"/>
      <c r="F5" s="73">
        <v>1000</v>
      </c>
      <c r="G5" s="73">
        <v>2500</v>
      </c>
    </row>
    <row r="6" spans="1:7">
      <c r="E6" s="73"/>
      <c r="F6" s="73"/>
      <c r="G6" s="73"/>
    </row>
    <row r="7" spans="1:7">
      <c r="A7" s="71">
        <v>1</v>
      </c>
      <c r="B7" s="71"/>
      <c r="C7" s="71"/>
      <c r="D7" s="71"/>
      <c r="E7" s="73"/>
      <c r="F7" s="73">
        <v>5000</v>
      </c>
      <c r="G7" s="73">
        <f>E4+G5</f>
        <v>6500</v>
      </c>
    </row>
    <row r="8" spans="1:7">
      <c r="A8" s="71">
        <v>2</v>
      </c>
      <c r="B8" s="71"/>
      <c r="C8" s="71"/>
      <c r="D8" s="71"/>
      <c r="E8" s="73"/>
      <c r="F8" s="73">
        <v>6000</v>
      </c>
      <c r="G8" s="73">
        <f>G7+$G$5</f>
        <v>9000</v>
      </c>
    </row>
    <row r="9" spans="1:7">
      <c r="A9" s="71">
        <v>3</v>
      </c>
      <c r="B9" s="71"/>
      <c r="C9" s="71"/>
      <c r="D9" s="71"/>
      <c r="E9" s="73"/>
      <c r="F9" s="73">
        <v>7000</v>
      </c>
      <c r="G9" s="73">
        <f t="shared" ref="G9:G16" si="0">G8+$G$5</f>
        <v>11500</v>
      </c>
    </row>
    <row r="10" spans="1:7">
      <c r="A10" s="71">
        <v>4</v>
      </c>
      <c r="B10" s="71"/>
      <c r="C10" s="71"/>
      <c r="D10" s="71"/>
      <c r="E10" s="73"/>
      <c r="F10" s="73">
        <v>8000</v>
      </c>
      <c r="G10" s="73">
        <f t="shared" si="0"/>
        <v>14000</v>
      </c>
    </row>
    <row r="11" spans="1:7">
      <c r="A11" s="71">
        <v>5</v>
      </c>
      <c r="B11" s="71"/>
      <c r="C11" s="71"/>
      <c r="D11" s="71"/>
      <c r="E11" s="73"/>
      <c r="F11" s="73">
        <v>9000</v>
      </c>
      <c r="G11" s="73">
        <f t="shared" si="0"/>
        <v>16500</v>
      </c>
    </row>
    <row r="12" spans="1:7">
      <c r="A12" s="71">
        <v>6</v>
      </c>
      <c r="B12" s="71"/>
      <c r="C12" s="71"/>
      <c r="D12" s="71"/>
      <c r="E12" s="73"/>
      <c r="F12" s="73">
        <v>10000</v>
      </c>
      <c r="G12" s="73">
        <f t="shared" si="0"/>
        <v>19000</v>
      </c>
    </row>
    <row r="13" spans="1:7">
      <c r="A13" s="71">
        <v>7</v>
      </c>
      <c r="B13" s="71"/>
      <c r="C13" s="71"/>
      <c r="D13" s="71"/>
      <c r="E13" s="73"/>
      <c r="F13" s="73">
        <v>11000</v>
      </c>
      <c r="G13" s="73">
        <f t="shared" si="0"/>
        <v>21500</v>
      </c>
    </row>
    <row r="14" spans="1:7">
      <c r="A14" s="71">
        <v>8</v>
      </c>
      <c r="B14" s="71"/>
      <c r="C14" s="71"/>
      <c r="D14" s="71"/>
      <c r="E14" s="73"/>
      <c r="F14" s="73">
        <v>12000</v>
      </c>
      <c r="G14" s="73">
        <f t="shared" si="0"/>
        <v>24000</v>
      </c>
    </row>
    <row r="15" spans="1:7">
      <c r="A15" s="71">
        <v>9</v>
      </c>
      <c r="B15" s="71"/>
      <c r="C15" s="71"/>
      <c r="D15" s="71"/>
      <c r="E15" s="73"/>
      <c r="F15" s="73">
        <v>13000</v>
      </c>
      <c r="G15" s="73">
        <f t="shared" si="0"/>
        <v>26500</v>
      </c>
    </row>
    <row r="16" spans="1:7">
      <c r="A16" s="71">
        <v>10</v>
      </c>
      <c r="B16" s="71"/>
      <c r="C16" s="71"/>
      <c r="D16" s="71"/>
      <c r="E16" s="73"/>
      <c r="F16" s="73">
        <v>14000</v>
      </c>
      <c r="G16" s="74">
        <f t="shared" si="0"/>
        <v>29000</v>
      </c>
    </row>
    <row r="17" spans="1:7">
      <c r="A17" s="71"/>
      <c r="B17" s="71"/>
      <c r="C17" s="71"/>
      <c r="D17" s="71"/>
      <c r="E17" s="73"/>
      <c r="F17" s="73"/>
      <c r="G17" s="74"/>
    </row>
    <row r="18" spans="1:7">
      <c r="A18" s="25" t="s">
        <v>100</v>
      </c>
      <c r="E18" s="75" t="e">
        <f>IF(Kalkulator!#REF!=1,E4,0)</f>
        <v>#REF!</v>
      </c>
      <c r="F18" s="76" t="e">
        <f>IF(Kalkulator!#REF!=1,VLOOKUP(Kalkulator!#REF!,'Norges eiendommer'!A7:F16,6,TRUE),0)</f>
        <v>#REF!</v>
      </c>
      <c r="G18" s="76" t="e">
        <f>IF(Kalkulator!#REF!=1,VLOOKUP(Kalkulator!#REF!,'Norges eiendommer'!A7:G16,7,TRUE),0)</f>
        <v>#REF!</v>
      </c>
    </row>
    <row r="19" spans="1:7">
      <c r="A19" s="25" t="s">
        <v>98</v>
      </c>
      <c r="E19" s="75" t="e">
        <f>IF(Kalkulator!#REF!=1,IF($C$21&gt;0,SUM($E$27:$E$39),0),0)</f>
        <v>#REF!</v>
      </c>
      <c r="F19" s="75" t="e">
        <f>IF(Kalkulator!#REF!=1,IF($C$21&gt;0,SUM($E$27:$E$39),0),0)</f>
        <v>#REF!</v>
      </c>
      <c r="G19" s="75" t="e">
        <f>IF(Kalkulator!#REF!=1,IF($C$21&gt;0,SUM($E$27:$E$39),0),0)</f>
        <v>#REF!</v>
      </c>
    </row>
    <row r="20" spans="1:7">
      <c r="B20" s="197" t="s">
        <v>99</v>
      </c>
      <c r="C20" s="197"/>
      <c r="D20" s="197"/>
      <c r="G20" s="71"/>
    </row>
    <row r="21" spans="1:7">
      <c r="A21" s="77" t="s">
        <v>96</v>
      </c>
      <c r="B21" s="78">
        <v>1</v>
      </c>
      <c r="C21" s="78">
        <v>1</v>
      </c>
      <c r="D21" s="79">
        <v>2010</v>
      </c>
    </row>
    <row r="22" spans="1:7">
      <c r="A22" s="77" t="s">
        <v>97</v>
      </c>
      <c r="B22" s="77">
        <v>31</v>
      </c>
      <c r="C22" s="77">
        <v>12</v>
      </c>
      <c r="D22" s="79">
        <v>2010</v>
      </c>
    </row>
    <row r="23" spans="1:7">
      <c r="A23" s="80" t="s">
        <v>119</v>
      </c>
      <c r="B23" s="81"/>
      <c r="C23" s="81"/>
      <c r="D23" s="81"/>
      <c r="E23" s="82" t="e">
        <f>IF(E19&gt;0,E18*E19/365,0)</f>
        <v>#REF!</v>
      </c>
      <c r="F23" s="82" t="e">
        <f>IF(F19&gt;0,F18*F19/365,0)</f>
        <v>#REF!</v>
      </c>
      <c r="G23" s="83" t="e">
        <f>IF(G19&gt;0,G18*G19/365,0)</f>
        <v>#REF!</v>
      </c>
    </row>
    <row r="25" spans="1:7" ht="25.5" customHeight="1">
      <c r="A25" s="75"/>
      <c r="B25" s="75"/>
      <c r="C25" s="75"/>
      <c r="D25" s="84" t="s">
        <v>82</v>
      </c>
    </row>
    <row r="26" spans="1:7">
      <c r="A26" s="75"/>
      <c r="B26" s="75"/>
      <c r="C26" s="75"/>
      <c r="D26" s="85"/>
    </row>
    <row r="27" spans="1:7">
      <c r="A27" s="75" t="s">
        <v>83</v>
      </c>
      <c r="B27" s="75"/>
      <c r="C27" s="75">
        <v>1</v>
      </c>
      <c r="D27" s="85">
        <v>31</v>
      </c>
      <c r="E27" s="25">
        <f>IF(E26&gt;0,D27,IF($C$21&gt;$C27,0,D27-$B$21))</f>
        <v>30</v>
      </c>
    </row>
    <row r="28" spans="1:7">
      <c r="A28" s="75" t="s">
        <v>84</v>
      </c>
      <c r="B28" s="75"/>
      <c r="C28" s="75">
        <v>2</v>
      </c>
      <c r="D28" s="85">
        <v>28</v>
      </c>
      <c r="E28" s="25">
        <f>IF(E27&gt;0,D28,IF($C$21&gt;$C28,0,D28-$B$21))</f>
        <v>28</v>
      </c>
    </row>
    <row r="29" spans="1:7">
      <c r="A29" s="75" t="s">
        <v>85</v>
      </c>
      <c r="B29" s="75"/>
      <c r="C29" s="75">
        <v>3</v>
      </c>
      <c r="D29" s="85">
        <v>31</v>
      </c>
      <c r="E29" s="25">
        <f>IF(E28&gt;0,D29,IF($C$21&gt;$C29,0,D29-$B$21))</f>
        <v>31</v>
      </c>
    </row>
    <row r="30" spans="1:7">
      <c r="A30" s="75" t="s">
        <v>86</v>
      </c>
      <c r="B30" s="75"/>
      <c r="C30" s="75">
        <v>4</v>
      </c>
      <c r="D30" s="85">
        <v>30</v>
      </c>
      <c r="E30" s="25">
        <f t="shared" ref="E30:E38" si="1">IF(E29&gt;0,D30,IF($C$21&gt;$C30,0,D30-$B$21))</f>
        <v>30</v>
      </c>
    </row>
    <row r="31" spans="1:7">
      <c r="A31" s="75" t="s">
        <v>87</v>
      </c>
      <c r="B31" s="75"/>
      <c r="C31" s="75">
        <v>5</v>
      </c>
      <c r="D31" s="85">
        <v>31</v>
      </c>
      <c r="E31" s="25">
        <f t="shared" si="1"/>
        <v>31</v>
      </c>
    </row>
    <row r="32" spans="1:7">
      <c r="A32" s="75" t="s">
        <v>88</v>
      </c>
      <c r="B32" s="75"/>
      <c r="C32" s="75">
        <v>6</v>
      </c>
      <c r="D32" s="85">
        <v>30</v>
      </c>
      <c r="E32" s="25">
        <f t="shared" si="1"/>
        <v>30</v>
      </c>
    </row>
    <row r="33" spans="1:5">
      <c r="A33" s="75" t="s">
        <v>89</v>
      </c>
      <c r="B33" s="75"/>
      <c r="C33" s="75">
        <v>7</v>
      </c>
      <c r="D33" s="85">
        <v>31</v>
      </c>
      <c r="E33" s="25">
        <f t="shared" si="1"/>
        <v>31</v>
      </c>
    </row>
    <row r="34" spans="1:5">
      <c r="A34" s="75" t="s">
        <v>90</v>
      </c>
      <c r="B34" s="75"/>
      <c r="C34" s="75">
        <v>8</v>
      </c>
      <c r="D34" s="85">
        <v>31</v>
      </c>
      <c r="E34" s="25">
        <f t="shared" si="1"/>
        <v>31</v>
      </c>
    </row>
    <row r="35" spans="1:5">
      <c r="A35" s="75" t="s">
        <v>91</v>
      </c>
      <c r="B35" s="75"/>
      <c r="C35" s="75">
        <v>9</v>
      </c>
      <c r="D35" s="85">
        <v>30</v>
      </c>
      <c r="E35" s="25">
        <f t="shared" si="1"/>
        <v>30</v>
      </c>
    </row>
    <row r="36" spans="1:5">
      <c r="A36" s="75" t="s">
        <v>92</v>
      </c>
      <c r="B36" s="75"/>
      <c r="C36" s="75">
        <v>10</v>
      </c>
      <c r="D36" s="85">
        <v>31</v>
      </c>
      <c r="E36" s="25">
        <f t="shared" si="1"/>
        <v>31</v>
      </c>
    </row>
    <row r="37" spans="1:5">
      <c r="A37" s="75" t="s">
        <v>93</v>
      </c>
      <c r="B37" s="75"/>
      <c r="C37" s="75">
        <v>11</v>
      </c>
      <c r="D37" s="85">
        <v>30</v>
      </c>
      <c r="E37" s="25">
        <f t="shared" si="1"/>
        <v>30</v>
      </c>
    </row>
    <row r="38" spans="1:5">
      <c r="A38" s="75" t="s">
        <v>94</v>
      </c>
      <c r="B38" s="75"/>
      <c r="C38" s="75">
        <v>12</v>
      </c>
      <c r="D38" s="85">
        <v>31</v>
      </c>
      <c r="E38" s="25">
        <f t="shared" si="1"/>
        <v>31</v>
      </c>
    </row>
    <row r="39" spans="1:5">
      <c r="A39" s="75"/>
      <c r="B39" s="75"/>
      <c r="C39" s="75"/>
      <c r="D39" s="85"/>
      <c r="E39" s="25">
        <v>1</v>
      </c>
    </row>
    <row r="40" spans="1:5">
      <c r="A40" s="75"/>
      <c r="B40" s="75"/>
      <c r="C40" s="75"/>
      <c r="D40" s="85">
        <f>SUM(D27:D39)</f>
        <v>365</v>
      </c>
    </row>
  </sheetData>
  <sheetProtection password="E1F6" sheet="1" objects="1" scenarios="1"/>
  <mergeCells count="1">
    <mergeCell ref="B20:D20"/>
  </mergeCells>
  <phoneticPr fontId="2" type="noConversion"/>
  <pageMargins left="0.78740157499999996" right="0.78740157499999996" top="0.984251969" bottom="0.984251969" header="0.5" footer="0.5"/>
  <pageSetup paperSize="9" orientation="portrait" horizontalDpi="525" verticalDpi="525" r:id="rId1"/>
  <headerFooter alignWithMargins="0">
    <oddHeader>&amp;C&amp;"Calibri,Fet"&amp;11Bilag 1 (Side 4) - Beregning av årskostnad ved abonnement på Norges eiendommer i 2010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41"/>
  <sheetViews>
    <sheetView workbookViewId="0">
      <selection activeCell="Y20" sqref="Y20"/>
    </sheetView>
  </sheetViews>
  <sheetFormatPr baseColWidth="10" defaultRowHeight="15.75"/>
  <cols>
    <col min="1" max="1" width="10.42578125" style="39" customWidth="1"/>
    <col min="2" max="2" width="10" style="39" customWidth="1"/>
    <col min="3" max="3" width="8" style="39" bestFit="1" customWidth="1"/>
    <col min="4" max="15" width="5.5703125" style="39" customWidth="1"/>
    <col min="16" max="16" width="9.5703125" style="40" customWidth="1"/>
    <col min="17" max="17" width="12.42578125" style="39" customWidth="1"/>
    <col min="18" max="28" width="6.7109375" style="39" bestFit="1" customWidth="1"/>
    <col min="29" max="29" width="7.7109375" style="39" bestFit="1" customWidth="1"/>
    <col min="30" max="16384" width="11.42578125" style="39"/>
  </cols>
  <sheetData>
    <row r="1" spans="1:32">
      <c r="A1" s="207" t="s">
        <v>148</v>
      </c>
      <c r="B1" s="208"/>
      <c r="C1" s="209"/>
    </row>
    <row r="2" spans="1:32">
      <c r="A2" s="131" t="s">
        <v>120</v>
      </c>
      <c r="B2" s="132" t="s">
        <v>121</v>
      </c>
      <c r="C2" s="133" t="s">
        <v>122</v>
      </c>
    </row>
    <row r="3" spans="1:32" ht="16.5" thickBot="1">
      <c r="A3" s="131">
        <v>2</v>
      </c>
      <c r="B3" s="134">
        <v>12000</v>
      </c>
      <c r="C3" s="135">
        <f>B3/12</f>
        <v>1000</v>
      </c>
    </row>
    <row r="4" spans="1:32" ht="16.5" thickBot="1">
      <c r="A4" s="131">
        <v>5</v>
      </c>
      <c r="B4" s="134">
        <v>8000</v>
      </c>
      <c r="C4" s="135">
        <f>B4/12</f>
        <v>666.66666666666663</v>
      </c>
      <c r="E4" s="198" t="s">
        <v>149</v>
      </c>
      <c r="F4" s="199"/>
      <c r="G4" s="199"/>
      <c r="H4" s="199"/>
      <c r="I4" s="159"/>
      <c r="J4" s="173">
        <v>5</v>
      </c>
      <c r="M4" s="163" t="str">
        <f>IF(J4&lt;&gt;O10,"Sjekk antall lisenser!!","")</f>
        <v/>
      </c>
    </row>
    <row r="5" spans="1:32" ht="16.5" thickBot="1">
      <c r="A5" s="136">
        <v>6</v>
      </c>
      <c r="B5" s="137">
        <v>6000</v>
      </c>
      <c r="C5" s="138">
        <f>B5/12</f>
        <v>500</v>
      </c>
    </row>
    <row r="6" spans="1:32" ht="16.5" thickBot="1"/>
    <row r="7" spans="1:32">
      <c r="A7" s="98"/>
      <c r="B7" s="139"/>
      <c r="C7" s="139"/>
      <c r="D7" s="140" t="s">
        <v>123</v>
      </c>
      <c r="E7" s="140" t="s">
        <v>124</v>
      </c>
      <c r="F7" s="140" t="s">
        <v>125</v>
      </c>
      <c r="G7" s="140" t="s">
        <v>126</v>
      </c>
      <c r="H7" s="140" t="s">
        <v>87</v>
      </c>
      <c r="I7" s="140" t="s">
        <v>127</v>
      </c>
      <c r="J7" s="140" t="s">
        <v>128</v>
      </c>
      <c r="K7" s="140" t="s">
        <v>129</v>
      </c>
      <c r="L7" s="140" t="s">
        <v>130</v>
      </c>
      <c r="M7" s="140" t="s">
        <v>131</v>
      </c>
      <c r="N7" s="140" t="s">
        <v>132</v>
      </c>
      <c r="O7" s="140" t="s">
        <v>133</v>
      </c>
      <c r="P7" s="140" t="s">
        <v>134</v>
      </c>
      <c r="Q7" s="141" t="s">
        <v>135</v>
      </c>
      <c r="R7" s="40"/>
    </row>
    <row r="8" spans="1:32">
      <c r="A8" s="203" t="s">
        <v>150</v>
      </c>
      <c r="B8" s="204"/>
      <c r="C8" s="204"/>
      <c r="D8" s="170"/>
      <c r="E8" s="170">
        <v>1</v>
      </c>
      <c r="F8" s="170"/>
      <c r="G8" s="170">
        <v>1</v>
      </c>
      <c r="H8" s="170"/>
      <c r="I8" s="170">
        <v>1</v>
      </c>
      <c r="J8" s="170"/>
      <c r="K8" s="170">
        <v>1</v>
      </c>
      <c r="L8" s="170"/>
      <c r="M8" s="170">
        <v>1</v>
      </c>
      <c r="N8" s="170"/>
      <c r="O8" s="170"/>
      <c r="P8" s="142"/>
      <c r="Q8" s="143">
        <f>SUM(Q11:Q13)</f>
        <v>30000</v>
      </c>
    </row>
    <row r="9" spans="1:32">
      <c r="A9" s="117"/>
      <c r="B9" s="110"/>
      <c r="C9" s="110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29"/>
    </row>
    <row r="10" spans="1:32">
      <c r="A10" s="203" t="s">
        <v>136</v>
      </c>
      <c r="B10" s="204"/>
      <c r="C10" s="204"/>
      <c r="D10" s="142">
        <f>D8</f>
        <v>0</v>
      </c>
      <c r="E10" s="142">
        <f t="shared" ref="E10:O10" si="0">D10+E8</f>
        <v>1</v>
      </c>
      <c r="F10" s="142">
        <f t="shared" si="0"/>
        <v>1</v>
      </c>
      <c r="G10" s="142">
        <f t="shared" si="0"/>
        <v>2</v>
      </c>
      <c r="H10" s="142">
        <f t="shared" si="0"/>
        <v>2</v>
      </c>
      <c r="I10" s="142">
        <f t="shared" si="0"/>
        <v>3</v>
      </c>
      <c r="J10" s="142">
        <f t="shared" si="0"/>
        <v>3</v>
      </c>
      <c r="K10" s="142">
        <f t="shared" si="0"/>
        <v>4</v>
      </c>
      <c r="L10" s="142">
        <f t="shared" si="0"/>
        <v>4</v>
      </c>
      <c r="M10" s="142">
        <f t="shared" si="0"/>
        <v>5</v>
      </c>
      <c r="N10" s="142">
        <f t="shared" si="0"/>
        <v>5</v>
      </c>
      <c r="O10" s="142">
        <f t="shared" si="0"/>
        <v>5</v>
      </c>
      <c r="P10" s="142"/>
      <c r="Q10" s="145"/>
    </row>
    <row r="11" spans="1:32">
      <c r="A11" s="203" t="s">
        <v>137</v>
      </c>
      <c r="B11" s="204"/>
      <c r="C11" s="204"/>
      <c r="D11" s="142">
        <f t="shared" ref="D11:O11" si="1">IF(D10&gt;$A$3,$A$3,D10)</f>
        <v>0</v>
      </c>
      <c r="E11" s="142">
        <f t="shared" si="1"/>
        <v>1</v>
      </c>
      <c r="F11" s="142">
        <f t="shared" si="1"/>
        <v>1</v>
      </c>
      <c r="G11" s="142">
        <f t="shared" si="1"/>
        <v>2</v>
      </c>
      <c r="H11" s="142">
        <f t="shared" si="1"/>
        <v>2</v>
      </c>
      <c r="I11" s="142">
        <f t="shared" si="1"/>
        <v>2</v>
      </c>
      <c r="J11" s="142">
        <f t="shared" si="1"/>
        <v>2</v>
      </c>
      <c r="K11" s="142">
        <f t="shared" si="1"/>
        <v>2</v>
      </c>
      <c r="L11" s="142">
        <f t="shared" si="1"/>
        <v>2</v>
      </c>
      <c r="M11" s="142">
        <f t="shared" si="1"/>
        <v>2</v>
      </c>
      <c r="N11" s="142">
        <f t="shared" si="1"/>
        <v>2</v>
      </c>
      <c r="O11" s="142">
        <f t="shared" si="1"/>
        <v>2</v>
      </c>
      <c r="P11" s="142">
        <f>SUM(D11:O11)</f>
        <v>20</v>
      </c>
      <c r="Q11" s="145">
        <f>P11*C3</f>
        <v>20000</v>
      </c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</row>
    <row r="12" spans="1:32">
      <c r="A12" s="203" t="s">
        <v>138</v>
      </c>
      <c r="B12" s="204"/>
      <c r="C12" s="204"/>
      <c r="D12" s="142">
        <f t="shared" ref="D12:O12" si="2">IF(D10&lt;$A$3+1,0,IF(D10&gt;$A$4,$A$4-$A$3,D10-$A$3))</f>
        <v>0</v>
      </c>
      <c r="E12" s="142">
        <f t="shared" si="2"/>
        <v>0</v>
      </c>
      <c r="F12" s="142">
        <f t="shared" si="2"/>
        <v>0</v>
      </c>
      <c r="G12" s="142">
        <f t="shared" si="2"/>
        <v>0</v>
      </c>
      <c r="H12" s="142">
        <f t="shared" si="2"/>
        <v>0</v>
      </c>
      <c r="I12" s="142">
        <f t="shared" si="2"/>
        <v>1</v>
      </c>
      <c r="J12" s="142">
        <f t="shared" si="2"/>
        <v>1</v>
      </c>
      <c r="K12" s="142">
        <f t="shared" si="2"/>
        <v>2</v>
      </c>
      <c r="L12" s="142">
        <f t="shared" si="2"/>
        <v>2</v>
      </c>
      <c r="M12" s="142">
        <f t="shared" si="2"/>
        <v>3</v>
      </c>
      <c r="N12" s="142">
        <f t="shared" si="2"/>
        <v>3</v>
      </c>
      <c r="O12" s="142">
        <f t="shared" si="2"/>
        <v>3</v>
      </c>
      <c r="P12" s="142">
        <f>SUM(D12:O12)</f>
        <v>15</v>
      </c>
      <c r="Q12" s="145">
        <f>P12*C4</f>
        <v>10000</v>
      </c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</row>
    <row r="13" spans="1:32" ht="16.5" thickBot="1">
      <c r="A13" s="205" t="s">
        <v>139</v>
      </c>
      <c r="B13" s="206"/>
      <c r="C13" s="206"/>
      <c r="D13" s="146">
        <f t="shared" ref="D13:O13" si="3">IF(D10&gt;$A$4,D10-$A$4,0)</f>
        <v>0</v>
      </c>
      <c r="E13" s="146">
        <f t="shared" si="3"/>
        <v>0</v>
      </c>
      <c r="F13" s="146">
        <f t="shared" si="3"/>
        <v>0</v>
      </c>
      <c r="G13" s="146">
        <f t="shared" si="3"/>
        <v>0</v>
      </c>
      <c r="H13" s="146">
        <f t="shared" si="3"/>
        <v>0</v>
      </c>
      <c r="I13" s="146">
        <f t="shared" si="3"/>
        <v>0</v>
      </c>
      <c r="J13" s="146">
        <f t="shared" si="3"/>
        <v>0</v>
      </c>
      <c r="K13" s="146">
        <f t="shared" si="3"/>
        <v>0</v>
      </c>
      <c r="L13" s="146">
        <f t="shared" si="3"/>
        <v>0</v>
      </c>
      <c r="M13" s="146">
        <f t="shared" si="3"/>
        <v>0</v>
      </c>
      <c r="N13" s="146">
        <f t="shared" si="3"/>
        <v>0</v>
      </c>
      <c r="O13" s="146">
        <f t="shared" si="3"/>
        <v>0</v>
      </c>
      <c r="P13" s="146">
        <f>SUM(D13:O13)</f>
        <v>0</v>
      </c>
      <c r="Q13" s="147">
        <f>P13*C5</f>
        <v>0</v>
      </c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</row>
    <row r="14" spans="1:32">
      <c r="O14" s="47"/>
      <c r="AC14" s="47"/>
    </row>
    <row r="15" spans="1:32" ht="16.5" thickBot="1"/>
    <row r="16" spans="1:32">
      <c r="A16" s="210" t="s">
        <v>151</v>
      </c>
      <c r="B16" s="211"/>
      <c r="C16" s="212"/>
    </row>
    <row r="17" spans="1:32">
      <c r="A17" s="148" t="s">
        <v>120</v>
      </c>
      <c r="B17" s="149" t="s">
        <v>121</v>
      </c>
      <c r="C17" s="150" t="s">
        <v>122</v>
      </c>
    </row>
    <row r="18" spans="1:32" ht="16.5" thickBot="1">
      <c r="A18" s="148">
        <v>2</v>
      </c>
      <c r="B18" s="151">
        <v>8000</v>
      </c>
      <c r="C18" s="152">
        <f>B18/12</f>
        <v>666.66666666666663</v>
      </c>
    </row>
    <row r="19" spans="1:32" ht="16.5" thickBot="1">
      <c r="A19" s="148">
        <v>5</v>
      </c>
      <c r="B19" s="151">
        <v>6000</v>
      </c>
      <c r="C19" s="152">
        <f>B19/12</f>
        <v>500</v>
      </c>
      <c r="E19" s="198" t="s">
        <v>152</v>
      </c>
      <c r="F19" s="199"/>
      <c r="G19" s="199"/>
      <c r="H19" s="199"/>
      <c r="I19" s="159"/>
      <c r="J19" s="171"/>
      <c r="M19" s="163" t="str">
        <f>IF(J19&lt;&gt;O25,"Sjekk antall lisenser!!","")</f>
        <v/>
      </c>
    </row>
    <row r="20" spans="1:32" ht="16.5" thickBot="1">
      <c r="A20" s="153">
        <v>6</v>
      </c>
      <c r="B20" s="154">
        <v>5000</v>
      </c>
      <c r="C20" s="155">
        <f>B20/12</f>
        <v>416.66666666666669</v>
      </c>
    </row>
    <row r="21" spans="1:32" ht="16.5" thickBot="1"/>
    <row r="22" spans="1:32">
      <c r="A22" s="98"/>
      <c r="B22" s="139"/>
      <c r="C22" s="139"/>
      <c r="D22" s="140" t="s">
        <v>123</v>
      </c>
      <c r="E22" s="140" t="s">
        <v>124</v>
      </c>
      <c r="F22" s="140" t="s">
        <v>125</v>
      </c>
      <c r="G22" s="140" t="s">
        <v>126</v>
      </c>
      <c r="H22" s="140" t="s">
        <v>87</v>
      </c>
      <c r="I22" s="140" t="s">
        <v>127</v>
      </c>
      <c r="J22" s="140" t="s">
        <v>128</v>
      </c>
      <c r="K22" s="140" t="s">
        <v>129</v>
      </c>
      <c r="L22" s="140" t="s">
        <v>130</v>
      </c>
      <c r="M22" s="140" t="s">
        <v>131</v>
      </c>
      <c r="N22" s="140" t="s">
        <v>132</v>
      </c>
      <c r="O22" s="140" t="s">
        <v>133</v>
      </c>
      <c r="P22" s="140"/>
      <c r="Q22" s="141"/>
      <c r="R22" s="40"/>
    </row>
    <row r="23" spans="1:32">
      <c r="A23" s="203" t="s">
        <v>153</v>
      </c>
      <c r="B23" s="204"/>
      <c r="C23" s="204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42"/>
      <c r="Q23" s="143">
        <f>SUM(Q26:Q28)</f>
        <v>0</v>
      </c>
      <c r="R23" s="40"/>
    </row>
    <row r="24" spans="1:32">
      <c r="A24" s="117"/>
      <c r="B24" s="110"/>
      <c r="C24" s="110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29"/>
      <c r="R24" s="40"/>
    </row>
    <row r="25" spans="1:32">
      <c r="A25" s="203" t="s">
        <v>136</v>
      </c>
      <c r="B25" s="204"/>
      <c r="C25" s="204"/>
      <c r="D25" s="142">
        <f>D23</f>
        <v>0</v>
      </c>
      <c r="E25" s="142">
        <f t="shared" ref="E25:O25" si="4">D25+E23</f>
        <v>0</v>
      </c>
      <c r="F25" s="142">
        <f t="shared" si="4"/>
        <v>0</v>
      </c>
      <c r="G25" s="142">
        <f t="shared" si="4"/>
        <v>0</v>
      </c>
      <c r="H25" s="142">
        <f t="shared" si="4"/>
        <v>0</v>
      </c>
      <c r="I25" s="142">
        <f t="shared" si="4"/>
        <v>0</v>
      </c>
      <c r="J25" s="142">
        <f t="shared" si="4"/>
        <v>0</v>
      </c>
      <c r="K25" s="142">
        <f t="shared" si="4"/>
        <v>0</v>
      </c>
      <c r="L25" s="142">
        <f t="shared" si="4"/>
        <v>0</v>
      </c>
      <c r="M25" s="142">
        <f t="shared" si="4"/>
        <v>0</v>
      </c>
      <c r="N25" s="142">
        <f t="shared" si="4"/>
        <v>0</v>
      </c>
      <c r="O25" s="142">
        <f t="shared" si="4"/>
        <v>0</v>
      </c>
      <c r="P25" s="142"/>
      <c r="Q25" s="145"/>
      <c r="R25" s="40"/>
    </row>
    <row r="26" spans="1:32">
      <c r="A26" s="203" t="s">
        <v>137</v>
      </c>
      <c r="B26" s="204"/>
      <c r="C26" s="204"/>
      <c r="D26" s="142">
        <f t="shared" ref="D26:O26" si="5">IF(D25&gt;$A$3,$A$3,D25)</f>
        <v>0</v>
      </c>
      <c r="E26" s="142">
        <f t="shared" si="5"/>
        <v>0</v>
      </c>
      <c r="F26" s="142">
        <f t="shared" si="5"/>
        <v>0</v>
      </c>
      <c r="G26" s="142">
        <f t="shared" si="5"/>
        <v>0</v>
      </c>
      <c r="H26" s="142">
        <f t="shared" si="5"/>
        <v>0</v>
      </c>
      <c r="I26" s="142">
        <f t="shared" si="5"/>
        <v>0</v>
      </c>
      <c r="J26" s="142">
        <f t="shared" si="5"/>
        <v>0</v>
      </c>
      <c r="K26" s="142">
        <f t="shared" si="5"/>
        <v>0</v>
      </c>
      <c r="L26" s="142">
        <f t="shared" si="5"/>
        <v>0</v>
      </c>
      <c r="M26" s="142">
        <f t="shared" si="5"/>
        <v>0</v>
      </c>
      <c r="N26" s="142">
        <f t="shared" si="5"/>
        <v>0</v>
      </c>
      <c r="O26" s="142">
        <f t="shared" si="5"/>
        <v>0</v>
      </c>
      <c r="P26" s="142">
        <f>SUM(D26:O26)</f>
        <v>0</v>
      </c>
      <c r="Q26" s="145">
        <f>P26*C18</f>
        <v>0</v>
      </c>
      <c r="R26" s="40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</row>
    <row r="27" spans="1:32">
      <c r="A27" s="203" t="s">
        <v>138</v>
      </c>
      <c r="B27" s="204"/>
      <c r="C27" s="204"/>
      <c r="D27" s="142">
        <f t="shared" ref="D27:O27" si="6">IF(D25&lt;$A$3+1,0,IF(D25&gt;$A$4,$A$4-$A$3,D25-$A$3))</f>
        <v>0</v>
      </c>
      <c r="E27" s="142">
        <f t="shared" si="6"/>
        <v>0</v>
      </c>
      <c r="F27" s="142">
        <f t="shared" si="6"/>
        <v>0</v>
      </c>
      <c r="G27" s="142">
        <f t="shared" si="6"/>
        <v>0</v>
      </c>
      <c r="H27" s="142">
        <f t="shared" si="6"/>
        <v>0</v>
      </c>
      <c r="I27" s="142">
        <f t="shared" si="6"/>
        <v>0</v>
      </c>
      <c r="J27" s="142">
        <f t="shared" si="6"/>
        <v>0</v>
      </c>
      <c r="K27" s="142">
        <f t="shared" si="6"/>
        <v>0</v>
      </c>
      <c r="L27" s="142">
        <f t="shared" si="6"/>
        <v>0</v>
      </c>
      <c r="M27" s="142">
        <f t="shared" si="6"/>
        <v>0</v>
      </c>
      <c r="N27" s="142">
        <f t="shared" si="6"/>
        <v>0</v>
      </c>
      <c r="O27" s="142">
        <f t="shared" si="6"/>
        <v>0</v>
      </c>
      <c r="P27" s="142">
        <f>SUM(D27:O27)</f>
        <v>0</v>
      </c>
      <c r="Q27" s="145">
        <f>P27*C19</f>
        <v>0</v>
      </c>
      <c r="R27" s="40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</row>
    <row r="28" spans="1:32" ht="16.5" thickBot="1">
      <c r="A28" s="205" t="s">
        <v>139</v>
      </c>
      <c r="B28" s="206"/>
      <c r="C28" s="206"/>
      <c r="D28" s="146">
        <f t="shared" ref="D28:O28" si="7">IF(D25&gt;$A$4,D25-$A$4,0)</f>
        <v>0</v>
      </c>
      <c r="E28" s="146">
        <f t="shared" si="7"/>
        <v>0</v>
      </c>
      <c r="F28" s="146">
        <f t="shared" si="7"/>
        <v>0</v>
      </c>
      <c r="G28" s="146">
        <f t="shared" si="7"/>
        <v>0</v>
      </c>
      <c r="H28" s="146">
        <f t="shared" si="7"/>
        <v>0</v>
      </c>
      <c r="I28" s="146">
        <f t="shared" si="7"/>
        <v>0</v>
      </c>
      <c r="J28" s="146">
        <f t="shared" si="7"/>
        <v>0</v>
      </c>
      <c r="K28" s="146">
        <f t="shared" si="7"/>
        <v>0</v>
      </c>
      <c r="L28" s="146">
        <f t="shared" si="7"/>
        <v>0</v>
      </c>
      <c r="M28" s="146">
        <f t="shared" si="7"/>
        <v>0</v>
      </c>
      <c r="N28" s="146">
        <f t="shared" si="7"/>
        <v>0</v>
      </c>
      <c r="O28" s="146">
        <f t="shared" si="7"/>
        <v>0</v>
      </c>
      <c r="P28" s="146">
        <f>SUM(D28:O28)</f>
        <v>0</v>
      </c>
      <c r="Q28" s="147">
        <f>P28*C20</f>
        <v>0</v>
      </c>
      <c r="R28" s="40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</row>
    <row r="30" spans="1:32" ht="16.5" thickBot="1"/>
    <row r="31" spans="1:32">
      <c r="A31" s="200" t="s">
        <v>154</v>
      </c>
      <c r="B31" s="201"/>
      <c r="C31" s="202"/>
    </row>
    <row r="32" spans="1:32" ht="16.5" thickBot="1">
      <c r="A32" s="164" t="s">
        <v>120</v>
      </c>
      <c r="B32" s="165" t="s">
        <v>121</v>
      </c>
      <c r="C32" s="166" t="s">
        <v>122</v>
      </c>
    </row>
    <row r="33" spans="1:31" ht="16.5" thickBot="1">
      <c r="A33" s="167"/>
      <c r="B33" s="168">
        <v>5000</v>
      </c>
      <c r="C33" s="169">
        <f>B33/12</f>
        <v>416.66666666666669</v>
      </c>
      <c r="E33" s="198" t="s">
        <v>155</v>
      </c>
      <c r="F33" s="199"/>
      <c r="G33" s="199"/>
      <c r="H33" s="199"/>
      <c r="I33" s="159"/>
      <c r="J33" s="172"/>
      <c r="M33" s="163" t="str">
        <f>IF(J33&lt;&gt;O38,"Sjekk antall lisenser!!","")</f>
        <v/>
      </c>
    </row>
    <row r="34" spans="1:31" ht="16.5" thickBot="1"/>
    <row r="35" spans="1:31">
      <c r="A35" s="98"/>
      <c r="B35" s="139"/>
      <c r="C35" s="139"/>
      <c r="D35" s="140" t="s">
        <v>123</v>
      </c>
      <c r="E35" s="140" t="s">
        <v>124</v>
      </c>
      <c r="F35" s="140" t="s">
        <v>125</v>
      </c>
      <c r="G35" s="140" t="s">
        <v>126</v>
      </c>
      <c r="H35" s="140" t="s">
        <v>87</v>
      </c>
      <c r="I35" s="140" t="s">
        <v>127</v>
      </c>
      <c r="J35" s="140" t="s">
        <v>128</v>
      </c>
      <c r="K35" s="140" t="s">
        <v>129</v>
      </c>
      <c r="L35" s="140" t="s">
        <v>130</v>
      </c>
      <c r="M35" s="140" t="s">
        <v>131</v>
      </c>
      <c r="N35" s="140" t="s">
        <v>132</v>
      </c>
      <c r="O35" s="140" t="s">
        <v>133</v>
      </c>
      <c r="P35" s="140"/>
      <c r="Q35" s="141"/>
      <c r="R35" s="40"/>
    </row>
    <row r="36" spans="1:31">
      <c r="A36" s="203" t="s">
        <v>153</v>
      </c>
      <c r="B36" s="204"/>
      <c r="C36" s="204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42"/>
      <c r="Q36" s="143">
        <f>SUM(Q39:Q39)</f>
        <v>0</v>
      </c>
      <c r="R36" s="40"/>
    </row>
    <row r="37" spans="1:31">
      <c r="A37" s="117"/>
      <c r="B37" s="110"/>
      <c r="C37" s="110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29"/>
      <c r="R37" s="40"/>
    </row>
    <row r="38" spans="1:31">
      <c r="A38" s="203" t="s">
        <v>136</v>
      </c>
      <c r="B38" s="204"/>
      <c r="C38" s="204"/>
      <c r="D38" s="142">
        <f>D36</f>
        <v>0</v>
      </c>
      <c r="E38" s="142">
        <f t="shared" ref="E38" si="8">D38+E36</f>
        <v>0</v>
      </c>
      <c r="F38" s="142">
        <f t="shared" ref="F38" si="9">E38+F36</f>
        <v>0</v>
      </c>
      <c r="G38" s="142">
        <f t="shared" ref="G38" si="10">F38+G36</f>
        <v>0</v>
      </c>
      <c r="H38" s="142">
        <f t="shared" ref="H38" si="11">G38+H36</f>
        <v>0</v>
      </c>
      <c r="I38" s="142">
        <f t="shared" ref="I38" si="12">H38+I36</f>
        <v>0</v>
      </c>
      <c r="J38" s="142">
        <f t="shared" ref="J38" si="13">I38+J36</f>
        <v>0</v>
      </c>
      <c r="K38" s="142">
        <f t="shared" ref="K38" si="14">J38+K36</f>
        <v>0</v>
      </c>
      <c r="L38" s="142">
        <f t="shared" ref="L38" si="15">K38+L36</f>
        <v>0</v>
      </c>
      <c r="M38" s="142">
        <f t="shared" ref="M38" si="16">L38+M36</f>
        <v>0</v>
      </c>
      <c r="N38" s="142">
        <f t="shared" ref="N38" si="17">M38+N36</f>
        <v>0</v>
      </c>
      <c r="O38" s="142">
        <f t="shared" ref="O38" si="18">N38+O36</f>
        <v>0</v>
      </c>
      <c r="P38" s="142"/>
      <c r="Q38" s="145"/>
      <c r="R38" s="40"/>
    </row>
    <row r="39" spans="1:31" ht="16.5" thickBot="1">
      <c r="A39" s="205" t="s">
        <v>141</v>
      </c>
      <c r="B39" s="206"/>
      <c r="C39" s="206"/>
      <c r="D39" s="146">
        <f t="shared" ref="D39:O39" si="19">IF(D38&gt;$A$3,$A$3,D38)</f>
        <v>0</v>
      </c>
      <c r="E39" s="146">
        <f t="shared" si="19"/>
        <v>0</v>
      </c>
      <c r="F39" s="146">
        <f t="shared" si="19"/>
        <v>0</v>
      </c>
      <c r="G39" s="146">
        <f t="shared" si="19"/>
        <v>0</v>
      </c>
      <c r="H39" s="146">
        <f t="shared" si="19"/>
        <v>0</v>
      </c>
      <c r="I39" s="146">
        <f t="shared" si="19"/>
        <v>0</v>
      </c>
      <c r="J39" s="146">
        <f t="shared" si="19"/>
        <v>0</v>
      </c>
      <c r="K39" s="146">
        <f t="shared" si="19"/>
        <v>0</v>
      </c>
      <c r="L39" s="146">
        <f t="shared" si="19"/>
        <v>0</v>
      </c>
      <c r="M39" s="146">
        <f t="shared" si="19"/>
        <v>0</v>
      </c>
      <c r="N39" s="146">
        <f t="shared" si="19"/>
        <v>0</v>
      </c>
      <c r="O39" s="146">
        <f t="shared" si="19"/>
        <v>0</v>
      </c>
      <c r="P39" s="146">
        <f>SUM(D39:O39)</f>
        <v>0</v>
      </c>
      <c r="Q39" s="147">
        <f>P39*C33</f>
        <v>0</v>
      </c>
      <c r="R39" s="40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</row>
    <row r="41" spans="1:31">
      <c r="A41" s="156" t="s">
        <v>140</v>
      </c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7"/>
      <c r="Q41" s="158">
        <f>Q8+Q23+Q36</f>
        <v>30000</v>
      </c>
    </row>
  </sheetData>
  <sheetProtection password="E1F6" sheet="1" objects="1" scenarios="1"/>
  <mergeCells count="19">
    <mergeCell ref="E4:H4"/>
    <mergeCell ref="E19:H19"/>
    <mergeCell ref="A1:C1"/>
    <mergeCell ref="A16:C16"/>
    <mergeCell ref="A8:C8"/>
    <mergeCell ref="A26:C26"/>
    <mergeCell ref="A27:C27"/>
    <mergeCell ref="A28:C28"/>
    <mergeCell ref="A23:C23"/>
    <mergeCell ref="A10:C10"/>
    <mergeCell ref="A11:C11"/>
    <mergeCell ref="A12:C12"/>
    <mergeCell ref="A13:C13"/>
    <mergeCell ref="A25:C25"/>
    <mergeCell ref="E33:H33"/>
    <mergeCell ref="A31:C31"/>
    <mergeCell ref="A36:C36"/>
    <mergeCell ref="A38:C38"/>
    <mergeCell ref="A39:C39"/>
  </mergeCells>
  <phoneticPr fontId="2" type="noConversion"/>
  <pageMargins left="1.4" right="0.78740157499999996" top="0.984251969" bottom="0.984251969" header="0.5" footer="0.5"/>
  <pageSetup paperSize="9" scale="95" orientation="landscape" horizontalDpi="525" verticalDpi="525" r:id="rId1"/>
  <headerFooter alignWithMargins="0">
    <oddHeader>&amp;C&amp;"Calibri,Fet"&amp;11Bilag 1 (Side 5) Beregning årskostnad valgfrie posisjoneringstjenester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1</vt:i4>
      </vt:variant>
    </vt:vector>
  </HeadingPairs>
  <TitlesOfParts>
    <vt:vector size="7" baseType="lpstr">
      <vt:lpstr>Forside</vt:lpstr>
      <vt:lpstr>Kalkulator</vt:lpstr>
      <vt:lpstr>SK</vt:lpstr>
      <vt:lpstr>Andre kommuner</vt:lpstr>
      <vt:lpstr>Norges eiendommer</vt:lpstr>
      <vt:lpstr>Pos_tjen</vt:lpstr>
      <vt:lpstr>SK!Utskriftsområde</vt:lpstr>
    </vt:vector>
  </TitlesOfParts>
  <Company>Statens kartverk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Statens kartverk</dc:creator>
  <cp:lastModifiedBy>lienka</cp:lastModifiedBy>
  <cp:lastPrinted>2010-11-01T12:26:02Z</cp:lastPrinted>
  <dcterms:created xsi:type="dcterms:W3CDTF">2004-09-06T13:33:18Z</dcterms:created>
  <dcterms:modified xsi:type="dcterms:W3CDTF">2010-11-30T08:46:56Z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