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9440" windowHeight="6180" activeTab="1"/>
  </bookViews>
  <sheets>
    <sheet name="Forside" sheetId="1" r:id="rId1"/>
    <sheet name="Kalkulator" sheetId="2" r:id="rId2"/>
    <sheet name="SK" sheetId="3" r:id="rId3"/>
    <sheet name="Andre kommuner" sheetId="4" r:id="rId4"/>
    <sheet name="Norges eiendommer" sheetId="5" r:id="rId5"/>
    <sheet name="Pos_tjen" sheetId="6" r:id="rId6"/>
  </sheets>
  <definedNames>
    <definedName name="_xlnm.Print_Area" localSheetId="2">'SK'!$A$1:$K$52</definedName>
  </definedNames>
  <calcPr fullCalcOnLoad="1"/>
</workbook>
</file>

<file path=xl/comments2.xml><?xml version="1.0" encoding="utf-8"?>
<comments xmlns="http://schemas.openxmlformats.org/spreadsheetml/2006/main">
  <authors>
    <author>Statens kartverk</author>
    <author>Erik Perstuen</author>
    <author>jenein</author>
  </authors>
  <commentList>
    <comment ref="H20" authorId="0">
      <text>
        <r>
          <rPr>
            <b/>
            <sz val="8"/>
            <rFont val="Tahoma"/>
            <family val="2"/>
          </rPr>
          <t>Statens kartverk:</t>
        </r>
        <r>
          <rPr>
            <sz val="8"/>
            <rFont val="Tahoma"/>
            <family val="2"/>
          </rPr>
          <t xml:space="preserve">
Se arkfane "SK"</t>
        </r>
      </text>
    </comment>
    <comment ref="H21" authorId="0">
      <text>
        <r>
          <rPr>
            <b/>
            <sz val="8"/>
            <rFont val="Tahoma"/>
            <family val="2"/>
          </rPr>
          <t>Statens kartverk:</t>
        </r>
        <r>
          <rPr>
            <sz val="8"/>
            <rFont val="Tahoma"/>
            <family val="2"/>
          </rPr>
          <t xml:space="preserve">
Se arkfane "SK"</t>
        </r>
      </text>
    </comment>
    <comment ref="H23" authorId="0">
      <text>
        <r>
          <rPr>
            <b/>
            <sz val="8"/>
            <rFont val="Tahoma"/>
            <family val="2"/>
          </rPr>
          <t>Statens kartverk:</t>
        </r>
        <r>
          <rPr>
            <sz val="8"/>
            <rFont val="Tahoma"/>
            <family val="2"/>
          </rPr>
          <t xml:space="preserve">
Se arkfane "SK"</t>
        </r>
      </text>
    </comment>
    <comment ref="H25" authorId="0">
      <text>
        <r>
          <rPr>
            <b/>
            <sz val="8"/>
            <rFont val="Tahoma"/>
            <family val="2"/>
          </rPr>
          <t>Statens kartverk:</t>
        </r>
        <r>
          <rPr>
            <sz val="8"/>
            <rFont val="Tahoma"/>
            <family val="2"/>
          </rPr>
          <t xml:space="preserve">
Se arkfane "SK"</t>
        </r>
      </text>
    </comment>
    <comment ref="H14" authorId="1">
      <text>
        <r>
          <rPr>
            <b/>
            <sz val="10"/>
            <rFont val="Tahoma"/>
            <family val="2"/>
          </rPr>
          <t>Erik Perstuen:</t>
        </r>
        <r>
          <rPr>
            <sz val="10"/>
            <rFont val="Tahoma"/>
            <family val="2"/>
          </rPr>
          <t xml:space="preserve">
Se arkfane "Andre kommuner"</t>
        </r>
      </text>
    </comment>
    <comment ref="D37" authorId="2">
      <text>
        <r>
          <rPr>
            <b/>
            <sz val="9"/>
            <rFont val="Tahoma"/>
            <family val="2"/>
          </rPr>
          <t>jenein:</t>
        </r>
        <r>
          <rPr>
            <sz val="9"/>
            <rFont val="Tahoma"/>
            <family val="2"/>
          </rPr>
          <t xml:space="preserve">
Se arkfane Pos_tjen</t>
        </r>
      </text>
    </comment>
    <comment ref="D38" authorId="2">
      <text>
        <r>
          <rPr>
            <b/>
            <sz val="9"/>
            <rFont val="Tahoma"/>
            <family val="2"/>
          </rPr>
          <t>jenein:</t>
        </r>
        <r>
          <rPr>
            <sz val="9"/>
            <rFont val="Tahoma"/>
            <family val="2"/>
          </rPr>
          <t xml:space="preserve">
Se arkfane Pos_tjen</t>
        </r>
      </text>
    </comment>
    <comment ref="D39" authorId="2">
      <text>
        <r>
          <rPr>
            <b/>
            <sz val="9"/>
            <rFont val="Tahoma"/>
            <family val="2"/>
          </rPr>
          <t>jenein:</t>
        </r>
        <r>
          <rPr>
            <sz val="9"/>
            <rFont val="Tahoma"/>
            <family val="2"/>
          </rPr>
          <t xml:space="preserve">
Se arkfane Pos_tjen</t>
        </r>
      </text>
    </comment>
  </commentList>
</comments>
</file>

<file path=xl/comments4.xml><?xml version="1.0" encoding="utf-8"?>
<comments xmlns="http://schemas.openxmlformats.org/spreadsheetml/2006/main">
  <authors>
    <author>jenein</author>
  </authors>
  <commentList>
    <comment ref="B9" authorId="0">
      <text>
        <r>
          <rPr>
            <b/>
            <sz val="9"/>
            <rFont val="Tahoma"/>
            <family val="0"/>
          </rPr>
          <t>jenein: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<sst xmlns="http://schemas.openxmlformats.org/spreadsheetml/2006/main" count="215" uniqueCount="174">
  <si>
    <t>Årlig kostnad Mill.kr.</t>
  </si>
  <si>
    <t>Land</t>
  </si>
  <si>
    <t>Eiendom</t>
  </si>
  <si>
    <t>Geodesi</t>
  </si>
  <si>
    <t>Sjø</t>
  </si>
  <si>
    <t>Andre data</t>
  </si>
  <si>
    <t>Sum</t>
  </si>
  <si>
    <t>Ortofoto</t>
  </si>
  <si>
    <t>OF-forvaltning</t>
  </si>
  <si>
    <t>Transformasjoner og fastmerker</t>
  </si>
  <si>
    <t>Dybdeinformasjon</t>
  </si>
  <si>
    <t>Rettighets-haver = R</t>
  </si>
  <si>
    <t>Navn på parten :</t>
  </si>
  <si>
    <t>Årsverk i enheten :</t>
  </si>
  <si>
    <t>FKB og DEK</t>
  </si>
  <si>
    <t>Tilgjengelig</t>
  </si>
  <si>
    <t>antall mnd.</t>
  </si>
  <si>
    <t>N50Kartdata</t>
  </si>
  <si>
    <t>N250Kartdata</t>
  </si>
  <si>
    <t>N500Kartdata</t>
  </si>
  <si>
    <t>N1000Kartdata</t>
  </si>
  <si>
    <t>N2000Kartdata</t>
  </si>
  <si>
    <t>N5000Kartdata</t>
  </si>
  <si>
    <t>N50Raster</t>
  </si>
  <si>
    <t>N250Raster</t>
  </si>
  <si>
    <t>N500Raster</t>
  </si>
  <si>
    <t>N1000Raster</t>
  </si>
  <si>
    <t>N2000Raster</t>
  </si>
  <si>
    <t>N5000Raster</t>
  </si>
  <si>
    <t>DTM</t>
  </si>
  <si>
    <t>Adm.grenser</t>
  </si>
  <si>
    <t>Sum "gruppe 1"</t>
  </si>
  <si>
    <t>Vbase</t>
  </si>
  <si>
    <t>Elveg</t>
  </si>
  <si>
    <t>NRL</t>
  </si>
  <si>
    <t>Sum SK-Land</t>
  </si>
  <si>
    <t>WSK_Trans</t>
  </si>
  <si>
    <t>Fastmerkeregister</t>
  </si>
  <si>
    <t>Sum SK-Geodesi</t>
  </si>
  <si>
    <t>Vektor dybdeinformasjon</t>
  </si>
  <si>
    <t>Sum SK-Sjø</t>
  </si>
  <si>
    <t>*SSR inngår, men produktet er vederlagsfritt ihht. Vedtak i Stortinget</t>
  </si>
  <si>
    <t>Partsfaktor  (Pf) :</t>
  </si>
  <si>
    <t>Nytteverdi (Nv)</t>
  </si>
  <si>
    <t>Nyttefaktor (Nf) = Pf x Nv</t>
  </si>
  <si>
    <t>Minimum nyttefaktor Nf = 1,0</t>
  </si>
  <si>
    <t>Omløpsfotografering (Bm 1:35. - 40.000)</t>
  </si>
  <si>
    <t>Oslo</t>
  </si>
  <si>
    <t>Bærum</t>
  </si>
  <si>
    <t>Drammen</t>
  </si>
  <si>
    <t>Stavanger</t>
  </si>
  <si>
    <t>Bergen</t>
  </si>
  <si>
    <t>Trondheim</t>
  </si>
  <si>
    <t>Enhetspris</t>
  </si>
  <si>
    <t>Antall mnd. tilgjengelig</t>
  </si>
  <si>
    <t>Årskostnad Norge digitalt</t>
  </si>
  <si>
    <t>Sum "gruppe 2"*</t>
  </si>
  <si>
    <t>Fradrag for andre avtaler</t>
  </si>
  <si>
    <t>Totalt ordinær kostnad SK basis geodata</t>
  </si>
  <si>
    <t>FKB, DEK og ortofoto fra Geovekst</t>
  </si>
  <si>
    <t>Data fra Statens kartverk</t>
  </si>
  <si>
    <t>N50-N5000 Kartdata/Raster, DTM, ortofoto og Adm.grenser</t>
  </si>
  <si>
    <t>Vbase*), Elveg*), SSR** og NRL</t>
  </si>
  <si>
    <t>Ortofoto forvaltningsløsning</t>
  </si>
  <si>
    <t>Sum kostnader andre avtaler</t>
  </si>
  <si>
    <t>Fradrag for kostnader andre avtaler</t>
  </si>
  <si>
    <t>Årskostnad andre kommuner</t>
  </si>
  <si>
    <t>Fradrag i årskostnad for andre avtaler</t>
  </si>
  <si>
    <t>Ordinær årskostnad "andre kommuner"</t>
  </si>
  <si>
    <t>Avtale/ Rettigheter "A"</t>
  </si>
  <si>
    <t>FKB, DEK og ortofoto fra "Andre kommuner"</t>
  </si>
  <si>
    <t>Valgfrie data</t>
  </si>
  <si>
    <t>Svalbard 100.000, 250.000, 1 mill kartdata og 250.000 raster og Jan Mayen</t>
  </si>
  <si>
    <t>1:1 mill.kartdatabase nordre deler Norge, Sverige, Finland og NV-del Russland</t>
  </si>
  <si>
    <t>Data fra Norsk Polarinstitutt (enhetspris*nyttefaktor)</t>
  </si>
  <si>
    <t>Data fra Barents-GIT (enhetspris*nyttefaktor)</t>
  </si>
  <si>
    <t>Justert enhetspris</t>
  </si>
  <si>
    <t>***) Se arkfane Andre kommuner</t>
  </si>
  <si>
    <t>Ordinær årskostnad FKB, DEK og ortofoto ***)</t>
  </si>
  <si>
    <t>Raster sjøkart</t>
  </si>
  <si>
    <t>ÅRSKOSTNADER I NORGE DIGITALT</t>
  </si>
  <si>
    <t>Prod. Nr.</t>
  </si>
  <si>
    <t>NE21242000</t>
  </si>
  <si>
    <t>NE21242300</t>
  </si>
  <si>
    <t>NE21242310</t>
  </si>
  <si>
    <t>Produktnavn</t>
  </si>
  <si>
    <t>Norges eiendommer basis-versjon</t>
  </si>
  <si>
    <t>Norges eiendommer eksport-versjon eiendoms-informasjon</t>
  </si>
  <si>
    <t>Norges eiendommer eksport-versjon all informasjon</t>
  </si>
  <si>
    <t>Tillegg pr. fylke - max. 10</t>
  </si>
  <si>
    <t>Antall dager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</si>
  <si>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</si>
  <si>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</si>
  <si>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</si>
  <si>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</si>
  <si>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</si>
  <si>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</si>
  <si>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</si>
  <si>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</si>
  <si>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</si>
  <si>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</si>
  <si>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</si>
  <si>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</si>
  <si>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Årskostnad - Basis</t>
  </si>
  <si>
    <t>Fra</t>
  </si>
  <si>
    <t>Til</t>
  </si>
  <si>
    <t>Abonnementsperiode (Dager)</t>
  </si>
  <si>
    <t>Dato</t>
  </si>
  <si>
    <t>Produktkostnad 365 dager</t>
  </si>
  <si>
    <t>Matrikkel</t>
  </si>
  <si>
    <t>Norges eiendommer - Basis</t>
  </si>
  <si>
    <t>Norges eiendommer - Eksport Matrikkelinformasjon</t>
  </si>
  <si>
    <t>Norges eiendommer - Eksport matrikkel- og eierinformasjon</t>
  </si>
  <si>
    <t>Antall fylker</t>
  </si>
  <si>
    <t xml:space="preserve">Bilag 1 </t>
  </si>
  <si>
    <t>Fradrag for "andre avtaler"***)</t>
  </si>
  <si>
    <t>Posisjoneringstjenester fra Statens kartverk</t>
  </si>
  <si>
    <t>C-pos</t>
  </si>
  <si>
    <t>D-pos</t>
  </si>
  <si>
    <t>Årskostnad (obligatoriske) Basis geodata fra SK</t>
  </si>
  <si>
    <t>Obligatoriske data fra Kartverket</t>
  </si>
  <si>
    <t>Enhetskost</t>
  </si>
  <si>
    <t>SK-produkter 2010</t>
  </si>
  <si>
    <t>Abonn.avtale/Andre avtaler</t>
  </si>
  <si>
    <t xml:space="preserve">Rettigheter 2010 </t>
  </si>
  <si>
    <t>Kostnad 2010</t>
  </si>
  <si>
    <t>Partskostnad ND 2010</t>
  </si>
  <si>
    <t>Antall måleenheter</t>
  </si>
  <si>
    <t>ND-partskostnad 2010</t>
  </si>
  <si>
    <t>Nyttefaktor 2010</t>
  </si>
  <si>
    <t>Rettigheter / andre avtaler i 2010</t>
  </si>
  <si>
    <t>Ordinær årskostnad 2010</t>
  </si>
  <si>
    <t>Årskostnad 2010</t>
  </si>
  <si>
    <t>Antall mnd. tilgj. i 2010</t>
  </si>
  <si>
    <t>Lisenser</t>
  </si>
  <si>
    <t>Pr. lisens</t>
  </si>
  <si>
    <t>Pr. mnd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</si>
  <si>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</si>
  <si>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</si>
  <si>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</si>
  <si>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</si>
  <si>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</si>
  <si>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</si>
  <si>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</si>
  <si>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</si>
  <si>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</si>
  <si>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</si>
  <si>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Des</t>
  </si>
  <si>
    <t>Sum mnd.</t>
  </si>
  <si>
    <t>Årskostnad</t>
  </si>
  <si>
    <t>Aktive lisenser pr. mnd.</t>
  </si>
  <si>
    <t>Kostnad lisens 1 - 2</t>
  </si>
  <si>
    <t>Kostnad lisens 3 - 5</t>
  </si>
  <si>
    <t>Kostnad lisens 6 eller flere</t>
  </si>
  <si>
    <t>ÅRSVERSJON 2010</t>
  </si>
  <si>
    <t>D-pos spesial</t>
  </si>
  <si>
    <t>SUM ÅRSKOSTNAD POSISJONERINGSTJENESTER (CPOS, DPOS og DPOS-spesial) 2010</t>
  </si>
  <si>
    <t>Kostnad lisener</t>
  </si>
  <si>
    <t>**) SSR inngår, men produktet er vederlagsfritt ihht. vedtak i Stortinget</t>
  </si>
  <si>
    <t>Sum i  kr</t>
  </si>
  <si>
    <t>Årskostnad i kr</t>
  </si>
  <si>
    <t>*) Statens vegvesen og Statens kartverk er rettighetshavere i fellesskap</t>
  </si>
  <si>
    <t>Evt. fratrekk for kostnader til andre avtaler for basis geodata fra Statens kartverk</t>
  </si>
  <si>
    <t>Enhetspris  kr</t>
  </si>
  <si>
    <t>R</t>
  </si>
  <si>
    <t>E-sektoren samlet</t>
  </si>
  <si>
    <t>CPOS-kostnadsmodell</t>
  </si>
  <si>
    <t>DPOS-kostnadsmodell</t>
  </si>
  <si>
    <t>Antall CPOS-lisenser</t>
  </si>
  <si>
    <t>Antall DPOS-lisenser</t>
  </si>
  <si>
    <t>Antall DPOS-spesial</t>
  </si>
  <si>
    <t>CPOS-lisenser (start måned)</t>
  </si>
  <si>
    <t>DPOS-lisenser (start måned)</t>
  </si>
  <si>
    <t>DPOS-spesialmodell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</si>
</sst>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28"/>
      <name val="Arial Narrow"/>
      <family val="2"/>
    </font>
    <font>
      <b/>
      <i/>
      <sz val="16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0" borderId="2" applyNumberFormat="0" applyFill="0" applyAlignment="0" applyProtection="0"/>
    <xf numFmtId="0" fontId="54" fillId="24" borderId="3" applyNumberFormat="0" applyAlignment="0" applyProtection="0"/>
    <xf numFmtId="0" fontId="0" fillId="25" borderId="4" applyNumberFormat="0" applyFont="0" applyAlignment="0" applyProtection="0"/>
    <xf numFmtId="0" fontId="55" fillId="26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9" applyNumberFormat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6" fontId="5" fillId="0" borderId="0" xfId="49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66" fontId="10" fillId="0" borderId="0" xfId="49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9" fontId="10" fillId="0" borderId="0" xfId="46" applyFont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166" fontId="15" fillId="0" borderId="0" xfId="49" applyNumberFormat="1" applyFont="1" applyAlignment="1">
      <alignment horizontal="center"/>
    </xf>
    <xf numFmtId="0" fontId="16" fillId="0" borderId="10" xfId="0" applyFont="1" applyBorder="1" applyAlignment="1">
      <alignment/>
    </xf>
    <xf numFmtId="166" fontId="16" fillId="0" borderId="10" xfId="49" applyNumberFormat="1" applyFont="1" applyBorder="1" applyAlignment="1">
      <alignment horizontal="center"/>
    </xf>
    <xf numFmtId="0" fontId="17" fillId="33" borderId="11" xfId="0" applyFont="1" applyFill="1" applyBorder="1" applyAlignment="1">
      <alignment horizontal="left"/>
    </xf>
    <xf numFmtId="0" fontId="17" fillId="33" borderId="12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66" fontId="16" fillId="0" borderId="0" xfId="49" applyNumberFormat="1" applyFont="1" applyBorder="1" applyAlignment="1">
      <alignment horizontal="center"/>
    </xf>
    <xf numFmtId="0" fontId="17" fillId="33" borderId="13" xfId="0" applyFont="1" applyFill="1" applyBorder="1" applyAlignment="1" applyProtection="1">
      <alignment horizontal="left"/>
      <protection locked="0"/>
    </xf>
    <xf numFmtId="0" fontId="17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>
      <alignment/>
    </xf>
    <xf numFmtId="0" fontId="17" fillId="33" borderId="17" xfId="0" applyFont="1" applyFill="1" applyBorder="1" applyAlignment="1">
      <alignment horizontal="left"/>
    </xf>
    <xf numFmtId="0" fontId="17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center"/>
    </xf>
    <xf numFmtId="167" fontId="17" fillId="33" borderId="19" xfId="0" applyNumberFormat="1" applyFont="1" applyFill="1" applyBorder="1" applyAlignment="1">
      <alignment horizontal="center"/>
    </xf>
    <xf numFmtId="166" fontId="17" fillId="0" borderId="0" xfId="0" applyNumberFormat="1" applyFont="1" applyAlignment="1">
      <alignment/>
    </xf>
    <xf numFmtId="0" fontId="15" fillId="33" borderId="16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166" fontId="15" fillId="33" borderId="0" xfId="49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33" borderId="21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166" fontId="18" fillId="33" borderId="22" xfId="49" applyNumberFormat="1" applyFont="1" applyFill="1" applyBorder="1" applyAlignment="1">
      <alignment horizontal="center" wrapText="1"/>
    </xf>
    <xf numFmtId="0" fontId="15" fillId="0" borderId="22" xfId="0" applyFont="1" applyBorder="1" applyAlignment="1" applyProtection="1">
      <alignment horizontal="center"/>
      <protection/>
    </xf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 applyProtection="1">
      <alignment horizontal="center"/>
      <protection locked="0"/>
    </xf>
    <xf numFmtId="1" fontId="15" fillId="0" borderId="22" xfId="0" applyNumberFormat="1" applyFont="1" applyBorder="1" applyAlignment="1" applyProtection="1">
      <alignment horizontal="center"/>
      <protection locked="0"/>
    </xf>
    <xf numFmtId="166" fontId="18" fillId="33" borderId="15" xfId="49" applyNumberFormat="1" applyFont="1" applyFill="1" applyBorder="1" applyAlignment="1">
      <alignment/>
    </xf>
    <xf numFmtId="0" fontId="15" fillId="33" borderId="23" xfId="0" applyFont="1" applyFill="1" applyBorder="1" applyAlignment="1">
      <alignment horizontal="right"/>
    </xf>
    <xf numFmtId="0" fontId="15" fillId="33" borderId="24" xfId="0" applyFont="1" applyFill="1" applyBorder="1" applyAlignment="1">
      <alignment/>
    </xf>
    <xf numFmtId="166" fontId="15" fillId="33" borderId="24" xfId="49" applyNumberFormat="1" applyFont="1" applyFill="1" applyBorder="1" applyAlignment="1">
      <alignment horizontal="center"/>
    </xf>
    <xf numFmtId="0" fontId="15" fillId="34" borderId="24" xfId="0" applyFont="1" applyFill="1" applyBorder="1" applyAlignment="1" applyProtection="1">
      <alignment horizontal="center"/>
      <protection locked="0"/>
    </xf>
    <xf numFmtId="167" fontId="15" fillId="0" borderId="24" xfId="0" applyNumberFormat="1" applyFont="1" applyBorder="1" applyAlignment="1">
      <alignment horizontal="center"/>
    </xf>
    <xf numFmtId="167" fontId="15" fillId="0" borderId="24" xfId="0" applyNumberFormat="1" applyFont="1" applyBorder="1" applyAlignment="1" applyProtection="1">
      <alignment horizontal="center"/>
      <protection locked="0"/>
    </xf>
    <xf numFmtId="1" fontId="15" fillId="0" borderId="24" xfId="0" applyNumberFormat="1" applyFont="1" applyBorder="1" applyAlignment="1" applyProtection="1">
      <alignment horizontal="center"/>
      <protection locked="0"/>
    </xf>
    <xf numFmtId="3" fontId="15" fillId="0" borderId="24" xfId="49" applyNumberFormat="1" applyFont="1" applyBorder="1" applyAlignment="1">
      <alignment horizontal="right"/>
    </xf>
    <xf numFmtId="166" fontId="15" fillId="0" borderId="24" xfId="49" applyNumberFormat="1" applyFont="1" applyBorder="1" applyAlignment="1">
      <alignment horizontal="right"/>
    </xf>
    <xf numFmtId="166" fontId="18" fillId="0" borderId="25" xfId="49" applyNumberFormat="1" applyFont="1" applyBorder="1" applyAlignment="1">
      <alignment/>
    </xf>
    <xf numFmtId="166" fontId="15" fillId="0" borderId="0" xfId="0" applyNumberFormat="1" applyFont="1" applyAlignment="1">
      <alignment/>
    </xf>
    <xf numFmtId="0" fontId="18" fillId="33" borderId="16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66" fontId="15" fillId="33" borderId="0" xfId="49" applyNumberFormat="1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167" fontId="15" fillId="0" borderId="0" xfId="0" applyNumberFormat="1" applyFont="1" applyBorder="1" applyAlignment="1">
      <alignment horizontal="center"/>
    </xf>
    <xf numFmtId="167" fontId="15" fillId="0" borderId="0" xfId="0" applyNumberFormat="1" applyFont="1" applyBorder="1" applyAlignment="1" applyProtection="1">
      <alignment horizontal="center"/>
      <protection locked="0"/>
    </xf>
    <xf numFmtId="1" fontId="15" fillId="0" borderId="0" xfId="0" applyNumberFormat="1" applyFont="1" applyBorder="1" applyAlignment="1" applyProtection="1">
      <alignment horizontal="center"/>
      <protection locked="0"/>
    </xf>
    <xf numFmtId="166" fontId="15" fillId="0" borderId="0" xfId="49" applyNumberFormat="1" applyFont="1" applyBorder="1" applyAlignment="1">
      <alignment horizontal="right"/>
    </xf>
    <xf numFmtId="166" fontId="18" fillId="33" borderId="20" xfId="49" applyNumberFormat="1" applyFont="1" applyFill="1" applyBorder="1" applyAlignment="1">
      <alignment/>
    </xf>
    <xf numFmtId="0" fontId="15" fillId="33" borderId="16" xfId="0" applyFont="1" applyFill="1" applyBorder="1" applyAlignment="1">
      <alignment horizontal="right" wrapText="1"/>
    </xf>
    <xf numFmtId="0" fontId="15" fillId="34" borderId="0" xfId="0" applyFont="1" applyFill="1" applyBorder="1" applyAlignment="1" applyProtection="1">
      <alignment horizontal="center"/>
      <protection locked="0"/>
    </xf>
    <xf numFmtId="3" fontId="15" fillId="0" borderId="0" xfId="49" applyNumberFormat="1" applyFont="1" applyBorder="1" applyAlignment="1">
      <alignment horizontal="right"/>
    </xf>
    <xf numFmtId="166" fontId="18" fillId="0" borderId="20" xfId="49" applyNumberFormat="1" applyFont="1" applyBorder="1" applyAlignment="1">
      <alignment/>
    </xf>
    <xf numFmtId="0" fontId="20" fillId="33" borderId="16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3" fontId="15" fillId="0" borderId="14" xfId="49" applyNumberFormat="1" applyFont="1" applyBorder="1" applyAlignment="1">
      <alignment horizontal="right"/>
    </xf>
    <xf numFmtId="0" fontId="20" fillId="0" borderId="20" xfId="0" applyFont="1" applyBorder="1" applyAlignment="1">
      <alignment/>
    </xf>
    <xf numFmtId="0" fontId="20" fillId="0" borderId="0" xfId="0" applyFont="1" applyAlignment="1">
      <alignment/>
    </xf>
    <xf numFmtId="166" fontId="15" fillId="33" borderId="22" xfId="49" applyNumberFormat="1" applyFont="1" applyFill="1" applyBorder="1" applyAlignment="1">
      <alignment horizontal="center"/>
    </xf>
    <xf numFmtId="167" fontId="15" fillId="0" borderId="22" xfId="0" applyNumberFormat="1" applyFont="1" applyBorder="1" applyAlignment="1">
      <alignment horizontal="center"/>
    </xf>
    <xf numFmtId="167" fontId="15" fillId="0" borderId="22" xfId="0" applyNumberFormat="1" applyFont="1" applyBorder="1" applyAlignment="1" applyProtection="1">
      <alignment horizontal="center"/>
      <protection locked="0"/>
    </xf>
    <xf numFmtId="3" fontId="15" fillId="0" borderId="22" xfId="49" applyNumberFormat="1" applyFont="1" applyBorder="1" applyAlignment="1">
      <alignment horizontal="right"/>
    </xf>
    <xf numFmtId="166" fontId="15" fillId="0" borderId="22" xfId="49" applyNumberFormat="1" applyFont="1" applyBorder="1" applyAlignment="1">
      <alignment horizontal="right"/>
    </xf>
    <xf numFmtId="0" fontId="15" fillId="33" borderId="23" xfId="0" applyFont="1" applyFill="1" applyBorder="1" applyAlignment="1">
      <alignment horizontal="right" wrapText="1"/>
    </xf>
    <xf numFmtId="0" fontId="15" fillId="33" borderId="16" xfId="0" applyFont="1" applyFill="1" applyBorder="1" applyAlignment="1">
      <alignment/>
    </xf>
    <xf numFmtId="166" fontId="18" fillId="33" borderId="22" xfId="49" applyNumberFormat="1" applyFont="1" applyFill="1" applyBorder="1" applyAlignment="1">
      <alignment horizontal="center"/>
    </xf>
    <xf numFmtId="166" fontId="18" fillId="33" borderId="0" xfId="49" applyNumberFormat="1" applyFont="1" applyFill="1" applyBorder="1" applyAlignment="1">
      <alignment horizontal="center"/>
    </xf>
    <xf numFmtId="166" fontId="18" fillId="0" borderId="20" xfId="49" applyNumberFormat="1" applyFont="1" applyFill="1" applyBorder="1" applyAlignment="1">
      <alignment/>
    </xf>
    <xf numFmtId="0" fontId="15" fillId="33" borderId="16" xfId="0" applyFont="1" applyFill="1" applyBorder="1" applyAlignment="1">
      <alignment horizontal="left"/>
    </xf>
    <xf numFmtId="166" fontId="15" fillId="0" borderId="20" xfId="49" applyNumberFormat="1" applyFont="1" applyBorder="1" applyAlignment="1">
      <alignment/>
    </xf>
    <xf numFmtId="0" fontId="15" fillId="33" borderId="16" xfId="0" applyFont="1" applyFill="1" applyBorder="1" applyAlignment="1">
      <alignment horizontal="right"/>
    </xf>
    <xf numFmtId="0" fontId="15" fillId="35" borderId="16" xfId="0" applyFont="1" applyFill="1" applyBorder="1" applyAlignment="1">
      <alignment horizontal="right"/>
    </xf>
    <xf numFmtId="0" fontId="15" fillId="35" borderId="0" xfId="0" applyFont="1" applyFill="1" applyBorder="1" applyAlignment="1">
      <alignment/>
    </xf>
    <xf numFmtId="166" fontId="15" fillId="35" borderId="0" xfId="49" applyNumberFormat="1" applyFont="1" applyFill="1" applyBorder="1" applyAlignment="1">
      <alignment horizontal="center"/>
    </xf>
    <xf numFmtId="0" fontId="15" fillId="35" borderId="0" xfId="0" applyFont="1" applyFill="1" applyBorder="1" applyAlignment="1" applyProtection="1">
      <alignment horizontal="center"/>
      <protection locked="0"/>
    </xf>
    <xf numFmtId="167" fontId="15" fillId="35" borderId="0" xfId="0" applyNumberFormat="1" applyFont="1" applyFill="1" applyBorder="1" applyAlignment="1">
      <alignment horizontal="center"/>
    </xf>
    <xf numFmtId="167" fontId="15" fillId="35" borderId="0" xfId="0" applyNumberFormat="1" applyFont="1" applyFill="1" applyBorder="1" applyAlignment="1" applyProtection="1">
      <alignment horizontal="center"/>
      <protection locked="0"/>
    </xf>
    <xf numFmtId="1" fontId="15" fillId="35" borderId="0" xfId="0" applyNumberFormat="1" applyFont="1" applyFill="1" applyBorder="1" applyAlignment="1" applyProtection="1">
      <alignment horizontal="center"/>
      <protection locked="0"/>
    </xf>
    <xf numFmtId="3" fontId="15" fillId="35" borderId="0" xfId="49" applyNumberFormat="1" applyFont="1" applyFill="1" applyBorder="1" applyAlignment="1">
      <alignment horizontal="right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33" borderId="23" xfId="0" applyFont="1" applyFill="1" applyBorder="1" applyAlignment="1">
      <alignment horizontal="left"/>
    </xf>
    <xf numFmtId="0" fontId="15" fillId="0" borderId="24" xfId="0" applyFont="1" applyFill="1" applyBorder="1" applyAlignment="1" applyProtection="1">
      <alignment horizontal="center"/>
      <protection locked="0"/>
    </xf>
    <xf numFmtId="166" fontId="15" fillId="0" borderId="25" xfId="49" applyNumberFormat="1" applyFont="1" applyBorder="1" applyAlignment="1">
      <alignment/>
    </xf>
    <xf numFmtId="0" fontId="15" fillId="33" borderId="13" xfId="0" applyFont="1" applyFill="1" applyBorder="1" applyAlignment="1">
      <alignment horizontal="left"/>
    </xf>
    <xf numFmtId="0" fontId="15" fillId="33" borderId="14" xfId="0" applyFont="1" applyFill="1" applyBorder="1" applyAlignment="1">
      <alignment/>
    </xf>
    <xf numFmtId="166" fontId="15" fillId="33" borderId="14" xfId="49" applyNumberFormat="1" applyFont="1" applyFill="1" applyBorder="1" applyAlignment="1">
      <alignment horizontal="center"/>
    </xf>
    <xf numFmtId="0" fontId="15" fillId="0" borderId="14" xfId="0" applyFont="1" applyFill="1" applyBorder="1" applyAlignment="1" applyProtection="1">
      <alignment horizontal="center"/>
      <protection locked="0"/>
    </xf>
    <xf numFmtId="167" fontId="15" fillId="0" borderId="14" xfId="0" applyNumberFormat="1" applyFont="1" applyBorder="1" applyAlignment="1">
      <alignment horizontal="center"/>
    </xf>
    <xf numFmtId="167" fontId="15" fillId="0" borderId="14" xfId="0" applyNumberFormat="1" applyFont="1" applyBorder="1" applyAlignment="1" applyProtection="1">
      <alignment horizontal="center"/>
      <protection locked="0"/>
    </xf>
    <xf numFmtId="1" fontId="15" fillId="0" borderId="14" xfId="0" applyNumberFormat="1" applyFont="1" applyBorder="1" applyAlignment="1" applyProtection="1">
      <alignment horizontal="center"/>
      <protection locked="0"/>
    </xf>
    <xf numFmtId="166" fontId="15" fillId="0" borderId="14" xfId="49" applyNumberFormat="1" applyFont="1" applyBorder="1" applyAlignment="1">
      <alignment horizontal="right"/>
    </xf>
    <xf numFmtId="166" fontId="15" fillId="0" borderId="26" xfId="49" applyNumberFormat="1" applyFont="1" applyBorder="1" applyAlignment="1">
      <alignment/>
    </xf>
    <xf numFmtId="0" fontId="18" fillId="35" borderId="16" xfId="0" applyFont="1" applyFill="1" applyBorder="1" applyAlignment="1">
      <alignment horizontal="left"/>
    </xf>
    <xf numFmtId="0" fontId="18" fillId="35" borderId="0" xfId="0" applyFont="1" applyFill="1" applyBorder="1" applyAlignment="1">
      <alignment/>
    </xf>
    <xf numFmtId="166" fontId="18" fillId="35" borderId="0" xfId="49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3" fontId="18" fillId="0" borderId="0" xfId="49" applyNumberFormat="1" applyFont="1" applyBorder="1" applyAlignment="1">
      <alignment horizontal="right"/>
    </xf>
    <xf numFmtId="16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5" fillId="35" borderId="16" xfId="0" applyFont="1" applyFill="1" applyBorder="1" applyAlignment="1">
      <alignment horizontal="left"/>
    </xf>
    <xf numFmtId="166" fontId="15" fillId="35" borderId="0" xfId="49" applyNumberFormat="1" applyFont="1" applyFill="1" applyBorder="1" applyAlignment="1">
      <alignment horizontal="right"/>
    </xf>
    <xf numFmtId="0" fontId="17" fillId="35" borderId="27" xfId="0" applyFont="1" applyFill="1" applyBorder="1" applyAlignment="1">
      <alignment/>
    </xf>
    <xf numFmtId="0" fontId="16" fillId="35" borderId="28" xfId="0" applyFont="1" applyFill="1" applyBorder="1" applyAlignment="1">
      <alignment/>
    </xf>
    <xf numFmtId="166" fontId="17" fillId="35" borderId="28" xfId="49" applyNumberFormat="1" applyFont="1" applyFill="1" applyBorder="1" applyAlignment="1">
      <alignment horizontal="center"/>
    </xf>
    <xf numFmtId="0" fontId="17" fillId="35" borderId="28" xfId="0" applyFont="1" applyFill="1" applyBorder="1" applyAlignment="1">
      <alignment horizontal="left"/>
    </xf>
    <xf numFmtId="0" fontId="17" fillId="35" borderId="28" xfId="0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166" fontId="17" fillId="35" borderId="29" xfId="49" applyNumberFormat="1" applyFont="1" applyFill="1" applyBorder="1" applyAlignment="1">
      <alignment/>
    </xf>
    <xf numFmtId="166" fontId="16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66" fontId="17" fillId="0" borderId="0" xfId="49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166" fontId="22" fillId="0" borderId="0" xfId="49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66" fontId="23" fillId="0" borderId="0" xfId="49" applyNumberFormat="1" applyFont="1" applyAlignment="1">
      <alignment/>
    </xf>
    <xf numFmtId="166" fontId="23" fillId="0" borderId="0" xfId="49" applyNumberFormat="1" applyFont="1" applyAlignment="1">
      <alignment horizontal="center"/>
    </xf>
    <xf numFmtId="166" fontId="23" fillId="0" borderId="0" xfId="49" applyNumberFormat="1" applyFont="1" applyAlignment="1">
      <alignment/>
    </xf>
    <xf numFmtId="166" fontId="23" fillId="0" borderId="0" xfId="0" applyNumberFormat="1" applyFont="1" applyFill="1" applyAlignment="1">
      <alignment/>
    </xf>
    <xf numFmtId="0" fontId="23" fillId="0" borderId="0" xfId="0" applyFont="1" applyAlignment="1">
      <alignment horizontal="right"/>
    </xf>
    <xf numFmtId="166" fontId="23" fillId="0" borderId="0" xfId="49" applyNumberFormat="1" applyFont="1" applyAlignment="1">
      <alignment horizontal="right"/>
    </xf>
    <xf numFmtId="166" fontId="23" fillId="0" borderId="0" xfId="0" applyNumberFormat="1" applyFont="1" applyAlignment="1">
      <alignment/>
    </xf>
    <xf numFmtId="0" fontId="23" fillId="33" borderId="0" xfId="0" applyFont="1" applyFill="1" applyAlignment="1">
      <alignment/>
    </xf>
    <xf numFmtId="166" fontId="23" fillId="33" borderId="0" xfId="49" applyNumberFormat="1" applyFont="1" applyFill="1" applyAlignment="1">
      <alignment horizontal="center"/>
    </xf>
    <xf numFmtId="166" fontId="23" fillId="33" borderId="0" xfId="49" applyNumberFormat="1" applyFont="1" applyFill="1" applyAlignment="1">
      <alignment/>
    </xf>
    <xf numFmtId="166" fontId="23" fillId="33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166" fontId="23" fillId="33" borderId="0" xfId="49" applyNumberFormat="1" applyFont="1" applyFill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166" fontId="24" fillId="33" borderId="0" xfId="49" applyNumberFormat="1" applyFont="1" applyFill="1" applyAlignment="1">
      <alignment horizontal="center"/>
    </xf>
    <xf numFmtId="166" fontId="24" fillId="33" borderId="0" xfId="0" applyNumberFormat="1" applyFont="1" applyFill="1" applyAlignment="1">
      <alignment/>
    </xf>
    <xf numFmtId="166" fontId="24" fillId="0" borderId="0" xfId="49" applyNumberFormat="1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166" fontId="23" fillId="0" borderId="0" xfId="49" applyNumberFormat="1" applyFont="1" applyFill="1" applyAlignment="1">
      <alignment horizontal="center"/>
    </xf>
    <xf numFmtId="0" fontId="24" fillId="35" borderId="27" xfId="0" applyFont="1" applyFill="1" applyBorder="1" applyAlignment="1">
      <alignment/>
    </xf>
    <xf numFmtId="0" fontId="24" fillId="35" borderId="28" xfId="0" applyFont="1" applyFill="1" applyBorder="1" applyAlignment="1">
      <alignment/>
    </xf>
    <xf numFmtId="0" fontId="24" fillId="35" borderId="28" xfId="0" applyFont="1" applyFill="1" applyBorder="1" applyAlignment="1">
      <alignment horizontal="center"/>
    </xf>
    <xf numFmtId="166" fontId="24" fillId="35" borderId="28" xfId="49" applyNumberFormat="1" applyFont="1" applyFill="1" applyBorder="1" applyAlignment="1">
      <alignment horizontal="center"/>
    </xf>
    <xf numFmtId="166" fontId="24" fillId="35" borderId="29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166" fontId="20" fillId="0" borderId="0" xfId="49" applyNumberFormat="1" applyFont="1" applyAlignment="1">
      <alignment/>
    </xf>
    <xf numFmtId="166" fontId="20" fillId="0" borderId="0" xfId="49" applyNumberFormat="1" applyFont="1" applyFill="1" applyAlignment="1">
      <alignment/>
    </xf>
    <xf numFmtId="0" fontId="20" fillId="35" borderId="0" xfId="0" applyFont="1" applyFill="1" applyAlignment="1">
      <alignment/>
    </xf>
    <xf numFmtId="166" fontId="20" fillId="35" borderId="0" xfId="49" applyNumberFormat="1" applyFont="1" applyFill="1" applyAlignment="1">
      <alignment/>
    </xf>
    <xf numFmtId="0" fontId="20" fillId="0" borderId="0" xfId="0" applyFont="1" applyAlignment="1">
      <alignment horizontal="right"/>
    </xf>
    <xf numFmtId="0" fontId="20" fillId="36" borderId="0" xfId="0" applyFont="1" applyFill="1" applyAlignment="1">
      <alignment horizontal="right"/>
    </xf>
    <xf numFmtId="0" fontId="20" fillId="0" borderId="0" xfId="0" applyNumberFormat="1" applyFont="1" applyAlignment="1">
      <alignment horizontal="right"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/>
    </xf>
    <xf numFmtId="166" fontId="21" fillId="33" borderId="0" xfId="49" applyNumberFormat="1" applyFont="1" applyFill="1" applyAlignment="1">
      <alignment/>
    </xf>
    <xf numFmtId="166" fontId="21" fillId="33" borderId="0" xfId="0" applyNumberFormat="1" applyFont="1" applyFill="1" applyAlignment="1">
      <alignment/>
    </xf>
    <xf numFmtId="0" fontId="20" fillId="35" borderId="0" xfId="0" applyFont="1" applyFill="1" applyAlignment="1">
      <alignment horizontal="center" wrapText="1"/>
    </xf>
    <xf numFmtId="0" fontId="20" fillId="35" borderId="0" xfId="0" applyFont="1" applyFill="1" applyAlignment="1">
      <alignment horizontal="center"/>
    </xf>
    <xf numFmtId="0" fontId="15" fillId="35" borderId="30" xfId="0" applyFont="1" applyFill="1" applyBorder="1" applyAlignment="1">
      <alignment horizontal="right"/>
    </xf>
    <xf numFmtId="0" fontId="15" fillId="35" borderId="31" xfId="0" applyFont="1" applyFill="1" applyBorder="1" applyAlignment="1">
      <alignment/>
    </xf>
    <xf numFmtId="166" fontId="15" fillId="35" borderId="31" xfId="49" applyNumberFormat="1" applyFont="1" applyFill="1" applyBorder="1" applyAlignment="1">
      <alignment horizontal="center"/>
    </xf>
    <xf numFmtId="0" fontId="15" fillId="35" borderId="31" xfId="0" applyFont="1" applyFill="1" applyBorder="1" applyAlignment="1" applyProtection="1">
      <alignment horizontal="center"/>
      <protection locked="0"/>
    </xf>
    <xf numFmtId="167" fontId="15" fillId="35" borderId="31" xfId="0" applyNumberFormat="1" applyFont="1" applyFill="1" applyBorder="1" applyAlignment="1">
      <alignment horizontal="center"/>
    </xf>
    <xf numFmtId="167" fontId="15" fillId="35" borderId="31" xfId="0" applyNumberFormat="1" applyFont="1" applyFill="1" applyBorder="1" applyAlignment="1" applyProtection="1">
      <alignment horizontal="center"/>
      <protection locked="0"/>
    </xf>
    <xf numFmtId="1" fontId="15" fillId="35" borderId="31" xfId="0" applyNumberFormat="1" applyFont="1" applyFill="1" applyBorder="1" applyAlignment="1" applyProtection="1">
      <alignment horizontal="center"/>
      <protection locked="0"/>
    </xf>
    <xf numFmtId="3" fontId="15" fillId="35" borderId="31" xfId="49" applyNumberFormat="1" applyFont="1" applyFill="1" applyBorder="1" applyAlignment="1">
      <alignment horizontal="right"/>
    </xf>
    <xf numFmtId="166" fontId="15" fillId="0" borderId="31" xfId="49" applyNumberFormat="1" applyFont="1" applyBorder="1" applyAlignment="1">
      <alignment horizontal="right"/>
    </xf>
    <xf numFmtId="166" fontId="15" fillId="0" borderId="32" xfId="49" applyNumberFormat="1" applyFont="1" applyBorder="1" applyAlignment="1">
      <alignment/>
    </xf>
    <xf numFmtId="166" fontId="18" fillId="33" borderId="32" xfId="49" applyNumberFormat="1" applyFont="1" applyFill="1" applyBorder="1" applyAlignment="1">
      <alignment/>
    </xf>
    <xf numFmtId="0" fontId="24" fillId="35" borderId="33" xfId="0" applyFont="1" applyFill="1" applyBorder="1" applyAlignment="1">
      <alignment horizontal="right"/>
    </xf>
    <xf numFmtId="166" fontId="23" fillId="35" borderId="10" xfId="49" applyNumberFormat="1" applyFont="1" applyFill="1" applyBorder="1" applyAlignment="1">
      <alignment/>
    </xf>
    <xf numFmtId="0" fontId="23" fillId="35" borderId="10" xfId="0" applyFont="1" applyFill="1" applyBorder="1" applyAlignment="1">
      <alignment/>
    </xf>
    <xf numFmtId="165" fontId="24" fillId="35" borderId="10" xfId="49" applyNumberFormat="1" applyFont="1" applyFill="1" applyBorder="1" applyAlignment="1">
      <alignment/>
    </xf>
    <xf numFmtId="166" fontId="23" fillId="0" borderId="34" xfId="49" applyNumberFormat="1" applyFont="1" applyBorder="1" applyAlignment="1">
      <alignment/>
    </xf>
    <xf numFmtId="0" fontId="24" fillId="0" borderId="17" xfId="0" applyFont="1" applyBorder="1" applyAlignment="1">
      <alignment horizontal="center"/>
    </xf>
    <xf numFmtId="166" fontId="24" fillId="0" borderId="18" xfId="49" applyNumberFormat="1" applyFont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24" fillId="37" borderId="35" xfId="0" applyFont="1" applyFill="1" applyBorder="1" applyAlignment="1">
      <alignment horizontal="center" wrapText="1"/>
    </xf>
    <xf numFmtId="166" fontId="24" fillId="37" borderId="36" xfId="49" applyNumberFormat="1" applyFont="1" applyFill="1" applyBorder="1" applyAlignment="1">
      <alignment horizontal="center" wrapText="1"/>
    </xf>
    <xf numFmtId="166" fontId="24" fillId="0" borderId="37" xfId="49" applyNumberFormat="1" applyFont="1" applyBorder="1" applyAlignment="1">
      <alignment horizontal="center" wrapText="1"/>
    </xf>
    <xf numFmtId="0" fontId="23" fillId="0" borderId="33" xfId="0" applyFont="1" applyBorder="1" applyAlignment="1">
      <alignment/>
    </xf>
    <xf numFmtId="166" fontId="23" fillId="0" borderId="10" xfId="49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0" fontId="23" fillId="37" borderId="38" xfId="0" applyFont="1" applyFill="1" applyBorder="1" applyAlignment="1" applyProtection="1">
      <alignment horizontal="center"/>
      <protection locked="0"/>
    </xf>
    <xf numFmtId="166" fontId="23" fillId="37" borderId="39" xfId="49" applyNumberFormat="1" applyFont="1" applyFill="1" applyBorder="1" applyAlignment="1">
      <alignment/>
    </xf>
    <xf numFmtId="3" fontId="23" fillId="0" borderId="34" xfId="49" applyNumberFormat="1" applyFont="1" applyBorder="1" applyAlignment="1">
      <alignment/>
    </xf>
    <xf numFmtId="0" fontId="23" fillId="0" borderId="40" xfId="0" applyFont="1" applyBorder="1" applyAlignment="1">
      <alignment/>
    </xf>
    <xf numFmtId="166" fontId="23" fillId="0" borderId="41" xfId="49" applyNumberFormat="1" applyFont="1" applyBorder="1" applyAlignment="1">
      <alignment/>
    </xf>
    <xf numFmtId="166" fontId="23" fillId="0" borderId="41" xfId="0" applyNumberFormat="1" applyFont="1" applyBorder="1" applyAlignment="1">
      <alignment/>
    </xf>
    <xf numFmtId="0" fontId="23" fillId="37" borderId="42" xfId="0" applyFont="1" applyFill="1" applyBorder="1" applyAlignment="1" applyProtection="1">
      <alignment horizontal="center"/>
      <protection locked="0"/>
    </xf>
    <xf numFmtId="166" fontId="23" fillId="37" borderId="43" xfId="49" applyNumberFormat="1" applyFont="1" applyFill="1" applyBorder="1" applyAlignment="1">
      <alignment/>
    </xf>
    <xf numFmtId="3" fontId="23" fillId="0" borderId="44" xfId="49" applyNumberFormat="1" applyFont="1" applyBorder="1" applyAlignment="1">
      <alignment/>
    </xf>
    <xf numFmtId="0" fontId="23" fillId="0" borderId="0" xfId="0" applyFont="1" applyBorder="1" applyAlignment="1">
      <alignment/>
    </xf>
    <xf numFmtId="166" fontId="23" fillId="0" borderId="0" xfId="49" applyNumberFormat="1" applyFont="1" applyBorder="1" applyAlignment="1">
      <alignment/>
    </xf>
    <xf numFmtId="166" fontId="23" fillId="0" borderId="0" xfId="0" applyNumberFormat="1" applyFont="1" applyBorder="1" applyAlignment="1">
      <alignment/>
    </xf>
    <xf numFmtId="0" fontId="23" fillId="35" borderId="16" xfId="0" applyFont="1" applyFill="1" applyBorder="1" applyAlignment="1">
      <alignment/>
    </xf>
    <xf numFmtId="166" fontId="23" fillId="35" borderId="45" xfId="0" applyNumberFormat="1" applyFont="1" applyFill="1" applyBorder="1" applyAlignment="1">
      <alignment/>
    </xf>
    <xf numFmtId="0" fontId="23" fillId="0" borderId="46" xfId="0" applyFont="1" applyBorder="1" applyAlignment="1">
      <alignment/>
    </xf>
    <xf numFmtId="166" fontId="23" fillId="37" borderId="45" xfId="49" applyNumberFormat="1" applyFont="1" applyFill="1" applyBorder="1" applyAlignment="1">
      <alignment/>
    </xf>
    <xf numFmtId="0" fontId="23" fillId="0" borderId="16" xfId="0" applyFont="1" applyBorder="1" applyAlignment="1">
      <alignment/>
    </xf>
    <xf numFmtId="0" fontId="24" fillId="0" borderId="27" xfId="0" applyFont="1" applyFill="1" applyBorder="1" applyAlignment="1">
      <alignment/>
    </xf>
    <xf numFmtId="166" fontId="24" fillId="0" borderId="28" xfId="49" applyNumberFormat="1" applyFont="1" applyFill="1" applyBorder="1" applyAlignment="1">
      <alignment/>
    </xf>
    <xf numFmtId="0" fontId="24" fillId="0" borderId="28" xfId="0" applyFont="1" applyFill="1" applyBorder="1" applyAlignment="1">
      <alignment/>
    </xf>
    <xf numFmtId="166" fontId="24" fillId="35" borderId="47" xfId="49" applyNumberFormat="1" applyFont="1" applyFill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49" applyNumberFormat="1" applyFont="1" applyBorder="1" applyAlignment="1">
      <alignment/>
    </xf>
    <xf numFmtId="166" fontId="23" fillId="0" borderId="49" xfId="0" applyNumberFormat="1" applyFont="1" applyBorder="1" applyAlignment="1">
      <alignment/>
    </xf>
    <xf numFmtId="0" fontId="23" fillId="37" borderId="50" xfId="0" applyFont="1" applyFill="1" applyBorder="1" applyAlignment="1" applyProtection="1">
      <alignment horizontal="center"/>
      <protection locked="0"/>
    </xf>
    <xf numFmtId="166" fontId="23" fillId="37" borderId="51" xfId="49" applyNumberFormat="1" applyFont="1" applyFill="1" applyBorder="1" applyAlignment="1">
      <alignment/>
    </xf>
    <xf numFmtId="3" fontId="23" fillId="0" borderId="52" xfId="49" applyNumberFormat="1" applyFont="1" applyBorder="1" applyAlignment="1">
      <alignment/>
    </xf>
    <xf numFmtId="166" fontId="23" fillId="0" borderId="20" xfId="0" applyNumberFormat="1" applyFont="1" applyBorder="1" applyAlignment="1">
      <alignment/>
    </xf>
    <xf numFmtId="166" fontId="23" fillId="0" borderId="20" xfId="49" applyNumberFormat="1" applyFont="1" applyBorder="1" applyAlignment="1">
      <alignment/>
    </xf>
    <xf numFmtId="0" fontId="23" fillId="37" borderId="16" xfId="0" applyFont="1" applyFill="1" applyBorder="1" applyAlignment="1">
      <alignment/>
    </xf>
    <xf numFmtId="1" fontId="15" fillId="35" borderId="0" xfId="0" applyNumberFormat="1" applyFont="1" applyFill="1" applyBorder="1" applyAlignment="1" applyProtection="1">
      <alignment horizontal="center"/>
      <protection/>
    </xf>
    <xf numFmtId="0" fontId="23" fillId="33" borderId="16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20" xfId="0" applyFont="1" applyFill="1" applyBorder="1" applyAlignment="1">
      <alignment/>
    </xf>
    <xf numFmtId="166" fontId="24" fillId="33" borderId="0" xfId="49" applyNumberFormat="1" applyFont="1" applyFill="1" applyBorder="1" applyAlignment="1">
      <alignment/>
    </xf>
    <xf numFmtId="166" fontId="23" fillId="33" borderId="20" xfId="0" applyNumberFormat="1" applyFont="1" applyFill="1" applyBorder="1" applyAlignment="1">
      <alignment/>
    </xf>
    <xf numFmtId="0" fontId="23" fillId="33" borderId="17" xfId="0" applyFont="1" applyFill="1" applyBorder="1" applyAlignment="1">
      <alignment horizontal="center"/>
    </xf>
    <xf numFmtId="166" fontId="24" fillId="33" borderId="18" xfId="49" applyNumberFormat="1" applyFont="1" applyFill="1" applyBorder="1" applyAlignment="1">
      <alignment/>
    </xf>
    <xf numFmtId="166" fontId="23" fillId="33" borderId="53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166" fontId="24" fillId="0" borderId="56" xfId="49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66" fontId="23" fillId="0" borderId="56" xfId="49" applyNumberFormat="1" applyFont="1" applyBorder="1" applyAlignment="1">
      <alignment/>
    </xf>
    <xf numFmtId="0" fontId="23" fillId="0" borderId="57" xfId="0" applyFont="1" applyBorder="1" applyAlignment="1">
      <alignment horizontal="center"/>
    </xf>
    <xf numFmtId="166" fontId="23" fillId="0" borderId="58" xfId="49" applyNumberFormat="1" applyFont="1" applyBorder="1" applyAlignment="1">
      <alignment/>
    </xf>
    <xf numFmtId="0" fontId="23" fillId="35" borderId="16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3" fillId="35" borderId="20" xfId="0" applyFont="1" applyFill="1" applyBorder="1" applyAlignment="1">
      <alignment/>
    </xf>
    <xf numFmtId="166" fontId="24" fillId="35" borderId="0" xfId="49" applyNumberFormat="1" applyFont="1" applyFill="1" applyBorder="1" applyAlignment="1">
      <alignment/>
    </xf>
    <xf numFmtId="166" fontId="23" fillId="35" borderId="20" xfId="0" applyNumberFormat="1" applyFont="1" applyFill="1" applyBorder="1" applyAlignment="1">
      <alignment/>
    </xf>
    <xf numFmtId="0" fontId="23" fillId="35" borderId="17" xfId="0" applyFont="1" applyFill="1" applyBorder="1" applyAlignment="1">
      <alignment horizontal="center"/>
    </xf>
    <xf numFmtId="166" fontId="24" fillId="35" borderId="18" xfId="49" applyNumberFormat="1" applyFont="1" applyFill="1" applyBorder="1" applyAlignment="1">
      <alignment/>
    </xf>
    <xf numFmtId="166" fontId="23" fillId="35" borderId="53" xfId="0" applyNumberFormat="1" applyFont="1" applyFill="1" applyBorder="1" applyAlignment="1">
      <alignment/>
    </xf>
    <xf numFmtId="0" fontId="24" fillId="38" borderId="0" xfId="0" applyFont="1" applyFill="1" applyAlignment="1">
      <alignment/>
    </xf>
    <xf numFmtId="0" fontId="24" fillId="38" borderId="0" xfId="0" applyFont="1" applyFill="1" applyAlignment="1">
      <alignment horizontal="center"/>
    </xf>
    <xf numFmtId="166" fontId="24" fillId="38" borderId="0" xfId="0" applyNumberFormat="1" applyFont="1" applyFill="1" applyAlignment="1">
      <alignment/>
    </xf>
    <xf numFmtId="0" fontId="23" fillId="0" borderId="28" xfId="0" applyFont="1" applyBorder="1" applyAlignment="1">
      <alignment/>
    </xf>
    <xf numFmtId="0" fontId="23" fillId="0" borderId="0" xfId="0" applyFont="1" applyFill="1" applyAlignment="1">
      <alignment horizontal="right"/>
    </xf>
    <xf numFmtId="166" fontId="23" fillId="0" borderId="0" xfId="49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0" fontId="63" fillId="0" borderId="0" xfId="0" applyFont="1" applyAlignment="1">
      <alignment/>
    </xf>
    <xf numFmtId="0" fontId="23" fillId="39" borderId="16" xfId="0" applyFont="1" applyFill="1" applyBorder="1" applyAlignment="1">
      <alignment horizontal="center"/>
    </xf>
    <xf numFmtId="0" fontId="23" fillId="39" borderId="0" xfId="0" applyFont="1" applyFill="1" applyBorder="1" applyAlignment="1">
      <alignment horizontal="center"/>
    </xf>
    <xf numFmtId="0" fontId="23" fillId="39" borderId="20" xfId="0" applyFont="1" applyFill="1" applyBorder="1" applyAlignment="1">
      <alignment/>
    </xf>
    <xf numFmtId="0" fontId="23" fillId="39" borderId="17" xfId="0" applyFont="1" applyFill="1" applyBorder="1" applyAlignment="1">
      <alignment horizontal="center"/>
    </xf>
    <xf numFmtId="166" fontId="24" fillId="39" borderId="18" xfId="49" applyNumberFormat="1" applyFont="1" applyFill="1" applyBorder="1" applyAlignment="1">
      <alignment/>
    </xf>
    <xf numFmtId="166" fontId="23" fillId="39" borderId="53" xfId="0" applyNumberFormat="1" applyFont="1" applyFill="1" applyBorder="1" applyAlignment="1">
      <alignment/>
    </xf>
    <xf numFmtId="0" fontId="15" fillId="36" borderId="0" xfId="0" applyFont="1" applyFill="1" applyBorder="1" applyAlignment="1" applyProtection="1">
      <alignment horizontal="center"/>
      <protection/>
    </xf>
    <xf numFmtId="0" fontId="23" fillId="0" borderId="55" xfId="0" applyFont="1" applyBorder="1" applyAlignment="1" applyProtection="1">
      <alignment horizontal="center"/>
      <protection locked="0"/>
    </xf>
    <xf numFmtId="0" fontId="24" fillId="35" borderId="29" xfId="0" applyFont="1" applyFill="1" applyBorder="1" applyAlignment="1" applyProtection="1">
      <alignment horizontal="center"/>
      <protection locked="0"/>
    </xf>
    <xf numFmtId="0" fontId="24" fillId="39" borderId="29" xfId="0" applyFont="1" applyFill="1" applyBorder="1" applyAlignment="1" applyProtection="1">
      <alignment horizontal="center"/>
      <protection locked="0"/>
    </xf>
    <xf numFmtId="0" fontId="24" fillId="33" borderId="29" xfId="0" applyFont="1" applyFill="1" applyBorder="1" applyAlignment="1" applyProtection="1">
      <alignment horizontal="center"/>
      <protection locked="0"/>
    </xf>
    <xf numFmtId="166" fontId="18" fillId="33" borderId="0" xfId="49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7" fillId="33" borderId="12" xfId="0" applyFont="1" applyFill="1" applyBorder="1" applyAlignment="1" applyProtection="1">
      <alignment horizontal="center"/>
      <protection locked="0"/>
    </xf>
    <xf numFmtId="0" fontId="17" fillId="33" borderId="59" xfId="0" applyFont="1" applyFill="1" applyBorder="1" applyAlignment="1" applyProtection="1">
      <alignment horizontal="center"/>
      <protection locked="0"/>
    </xf>
    <xf numFmtId="0" fontId="2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5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166" fontId="24" fillId="0" borderId="0" xfId="49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37" borderId="60" xfId="0" applyFont="1" applyFill="1" applyBorder="1" applyAlignment="1">
      <alignment horizontal="center"/>
    </xf>
    <xf numFmtId="0" fontId="24" fillId="37" borderId="6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4" fillId="33" borderId="59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4" fillId="35" borderId="59" xfId="0" applyFont="1" applyFill="1" applyBorder="1" applyAlignment="1">
      <alignment horizontal="center"/>
    </xf>
    <xf numFmtId="0" fontId="23" fillId="0" borderId="62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63" xfId="0" applyFont="1" applyBorder="1" applyAlignment="1">
      <alignment horizontal="left"/>
    </xf>
    <xf numFmtId="0" fontId="23" fillId="0" borderId="57" xfId="0" applyFont="1" applyBorder="1" applyAlignment="1">
      <alignment horizontal="left"/>
    </xf>
    <xf numFmtId="0" fontId="24" fillId="39" borderId="11" xfId="0" applyFont="1" applyFill="1" applyBorder="1" applyAlignment="1">
      <alignment horizontal="center"/>
    </xf>
    <xf numFmtId="0" fontId="24" fillId="39" borderId="12" xfId="0" applyFont="1" applyFill="1" applyBorder="1" applyAlignment="1">
      <alignment horizontal="center"/>
    </xf>
    <xf numFmtId="0" fontId="24" fillId="39" borderId="59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27</xdr:row>
      <xdr:rowOff>152400</xdr:rowOff>
    </xdr:from>
    <xdr:to>
      <xdr:col>5</xdr:col>
      <xdr:colOff>28575</xdr:colOff>
      <xdr:row>37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7296150"/>
          <a:ext cx="1581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48</xdr:row>
      <xdr:rowOff>38100</xdr:rowOff>
    </xdr:from>
    <xdr:to>
      <xdr:col>10</xdr:col>
      <xdr:colOff>1133475</xdr:colOff>
      <xdr:row>52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1437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6"/>
  <sheetViews>
    <sheetView zoomScalePageLayoutView="0" workbookViewId="0" topLeftCell="A1">
      <selection activeCell="A24" sqref="A24:H25"/>
    </sheetView>
  </sheetViews>
  <sheetFormatPr defaultColWidth="11.421875" defaultRowHeight="12.75"/>
  <cols>
    <col min="1" max="2" width="9.7109375" style="0" customWidth="1"/>
    <col min="7" max="8" width="9.7109375" style="0" customWidth="1"/>
  </cols>
  <sheetData>
    <row r="8" spans="3:6" ht="12.75">
      <c r="C8" s="285" t="s">
        <v>114</v>
      </c>
      <c r="D8" s="285"/>
      <c r="E8" s="285"/>
      <c r="F8" s="285"/>
    </row>
    <row r="9" spans="3:6" ht="12.75">
      <c r="C9" s="285"/>
      <c r="D9" s="285"/>
      <c r="E9" s="285"/>
      <c r="F9" s="285"/>
    </row>
    <row r="10" spans="3:6" ht="12.75">
      <c r="C10" s="285"/>
      <c r="D10" s="285"/>
      <c r="E10" s="285"/>
      <c r="F10" s="285"/>
    </row>
    <row r="11" spans="3:6" ht="12.75">
      <c r="C11" s="285"/>
      <c r="D11" s="285"/>
      <c r="E11" s="285"/>
      <c r="F11" s="285"/>
    </row>
    <row r="13" spans="3:6" ht="12.75">
      <c r="C13" s="286">
        <v>2010</v>
      </c>
      <c r="D13" s="286"/>
      <c r="E13" s="286"/>
      <c r="F13" s="286"/>
    </row>
    <row r="14" spans="3:6" ht="12.75">
      <c r="C14" s="286"/>
      <c r="D14" s="286"/>
      <c r="E14" s="286"/>
      <c r="F14" s="286"/>
    </row>
    <row r="15" spans="3:6" ht="35.25">
      <c r="C15" s="15"/>
      <c r="D15" s="15"/>
      <c r="E15" s="15"/>
      <c r="F15" s="15"/>
    </row>
    <row r="16" spans="3:6" ht="35.25">
      <c r="C16" s="15"/>
      <c r="D16" s="15"/>
      <c r="E16" s="15"/>
      <c r="F16" s="15"/>
    </row>
    <row r="17" spans="3:6" ht="35.25">
      <c r="C17" s="15"/>
      <c r="D17" s="15"/>
      <c r="E17" s="15"/>
      <c r="F17" s="15"/>
    </row>
    <row r="18" spans="3:6" ht="35.25">
      <c r="C18" s="15"/>
      <c r="D18" s="15"/>
      <c r="E18" s="15"/>
      <c r="F18" s="15"/>
    </row>
    <row r="19" spans="3:6" ht="35.25">
      <c r="C19" s="15"/>
      <c r="D19" s="15"/>
      <c r="E19" s="15"/>
      <c r="F19" s="15"/>
    </row>
    <row r="20" spans="3:6" ht="35.25">
      <c r="C20" s="15"/>
      <c r="D20" s="15"/>
      <c r="E20" s="15"/>
      <c r="F20" s="15"/>
    </row>
    <row r="21" spans="3:6" ht="35.25">
      <c r="C21" s="15"/>
      <c r="D21" s="15"/>
      <c r="E21" s="15"/>
      <c r="F21" s="15"/>
    </row>
    <row r="22" spans="3:6" ht="35.25">
      <c r="C22" s="15"/>
      <c r="D22" s="15"/>
      <c r="E22" s="15"/>
      <c r="F22" s="15"/>
    </row>
    <row r="24" spans="1:8" ht="25.5" customHeight="1">
      <c r="A24" s="287" t="str">
        <f>Kalkulator!$F$2</f>
        <v>E-sektoren samlet</v>
      </c>
      <c r="B24" s="287"/>
      <c r="C24" s="287"/>
      <c r="D24" s="287"/>
      <c r="E24" s="287"/>
      <c r="F24" s="287"/>
      <c r="G24" s="287"/>
      <c r="H24" s="287"/>
    </row>
    <row r="25" spans="1:8" ht="25.5" customHeight="1">
      <c r="A25" s="287"/>
      <c r="B25" s="287"/>
      <c r="C25" s="287"/>
      <c r="D25" s="287"/>
      <c r="E25" s="287"/>
      <c r="F25" s="287"/>
      <c r="G25" s="287"/>
      <c r="H25" s="287"/>
    </row>
    <row r="26" spans="3:6" ht="25.5" customHeight="1">
      <c r="C26" s="15"/>
      <c r="D26" s="15"/>
      <c r="E26" s="15"/>
      <c r="F26" s="15"/>
    </row>
  </sheetData>
  <sheetProtection password="E1F6" sheet="1" objects="1" scenarios="1"/>
  <mergeCells count="3">
    <mergeCell ref="C8:F11"/>
    <mergeCell ref="C13:F14"/>
    <mergeCell ref="A24:H25"/>
  </mergeCells>
  <printOptions/>
  <pageMargins left="0.787401575" right="0.787401575" top="0.984251969" bottom="0.984251969" header="0.5" footer="0.5"/>
  <pageSetup horizontalDpi="525" verticalDpi="52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Zeros="0" tabSelected="1" zoomScale="98" zoomScaleNormal="98" zoomScalePageLayoutView="0" workbookViewId="0" topLeftCell="A2">
      <pane ySplit="4" topLeftCell="A9" activePane="bottomLeft" state="frozen"/>
      <selection pane="topLeft" activeCell="A2" sqref="A2"/>
      <selection pane="bottomLeft" activeCell="D27" sqref="D27"/>
    </sheetView>
  </sheetViews>
  <sheetFormatPr defaultColWidth="11.421875" defaultRowHeight="12.75"/>
  <cols>
    <col min="1" max="1" width="62.7109375" style="16" customWidth="1"/>
    <col min="2" max="2" width="9.28125" style="16" hidden="1" customWidth="1"/>
    <col min="3" max="3" width="14.28125" style="17" customWidth="1"/>
    <col min="4" max="4" width="19.28125" style="16" customWidth="1"/>
    <col min="5" max="5" width="14.00390625" style="16" bestFit="1" customWidth="1"/>
    <col min="6" max="6" width="10.421875" style="16" customWidth="1"/>
    <col min="7" max="7" width="11.8515625" style="16" customWidth="1"/>
    <col min="8" max="8" width="10.00390625" style="16" customWidth="1"/>
    <col min="9" max="9" width="11.57421875" style="16" bestFit="1" customWidth="1"/>
    <col min="10" max="10" width="11.57421875" style="16" hidden="1" customWidth="1"/>
    <col min="11" max="11" width="17.8515625" style="16" customWidth="1"/>
    <col min="12" max="12" width="11.28125" style="16" customWidth="1"/>
    <col min="13" max="16384" width="11.421875" style="16" customWidth="1"/>
  </cols>
  <sheetData>
    <row r="1" spans="2:9" ht="12" hidden="1">
      <c r="B1" s="16">
        <v>4.803261</v>
      </c>
      <c r="C1" s="17">
        <v>2.37125</v>
      </c>
      <c r="I1" s="16">
        <v>12</v>
      </c>
    </row>
    <row r="2" spans="1:11" s="22" customFormat="1" ht="15">
      <c r="A2" s="290" t="s">
        <v>154</v>
      </c>
      <c r="B2" s="18"/>
      <c r="C2" s="19"/>
      <c r="D2" s="20" t="s">
        <v>12</v>
      </c>
      <c r="E2" s="21"/>
      <c r="F2" s="288" t="s">
        <v>165</v>
      </c>
      <c r="G2" s="288"/>
      <c r="H2" s="288"/>
      <c r="I2" s="288"/>
      <c r="J2" s="288"/>
      <c r="K2" s="289"/>
    </row>
    <row r="3" spans="1:11" s="22" customFormat="1" ht="15.75" thickBot="1">
      <c r="A3" s="291"/>
      <c r="B3" s="23"/>
      <c r="C3" s="24"/>
      <c r="D3" s="25" t="s">
        <v>13</v>
      </c>
      <c r="E3" s="26"/>
      <c r="F3" s="26"/>
      <c r="G3" s="26"/>
      <c r="H3" s="26"/>
      <c r="I3" s="26"/>
      <c r="J3" s="26"/>
      <c r="K3" s="27">
        <v>2001</v>
      </c>
    </row>
    <row r="4" spans="1:12" s="22" customFormat="1" ht="15.75" thickBot="1">
      <c r="A4" s="28"/>
      <c r="B4" s="23"/>
      <c r="C4" s="24"/>
      <c r="D4" s="29" t="s">
        <v>42</v>
      </c>
      <c r="E4" s="30"/>
      <c r="F4" s="30"/>
      <c r="G4" s="30"/>
      <c r="H4" s="31"/>
      <c r="I4" s="31"/>
      <c r="J4" s="31">
        <f>ROUNDDOWN(IF(K3&gt;150,IF(K3&gt;2000,4,LOG(K3,$C$1)-$B$1),1),1)</f>
        <v>4</v>
      </c>
      <c r="K4" s="32">
        <f>IF(K3&gt;150,IF(J4=1,1.1,J4),J4)</f>
        <v>4</v>
      </c>
      <c r="L4" s="33"/>
    </row>
    <row r="5" spans="1:11" ht="57" customHeight="1">
      <c r="A5" s="34"/>
      <c r="B5" s="35" t="s">
        <v>0</v>
      </c>
      <c r="C5" s="284" t="s">
        <v>163</v>
      </c>
      <c r="D5" s="37" t="s">
        <v>43</v>
      </c>
      <c r="E5" s="38" t="s">
        <v>44</v>
      </c>
      <c r="F5" s="38" t="s">
        <v>11</v>
      </c>
      <c r="G5" s="38" t="s">
        <v>45</v>
      </c>
      <c r="H5" s="39" t="s">
        <v>133</v>
      </c>
      <c r="I5" s="38" t="s">
        <v>159</v>
      </c>
      <c r="J5" s="40"/>
      <c r="K5" s="41" t="s">
        <v>160</v>
      </c>
    </row>
    <row r="6" spans="1:11" ht="4.5" customHeight="1">
      <c r="A6" s="34"/>
      <c r="B6" s="35"/>
      <c r="C6" s="36"/>
      <c r="D6" s="37"/>
      <c r="E6" s="38"/>
      <c r="F6" s="38"/>
      <c r="G6" s="38"/>
      <c r="H6" s="39"/>
      <c r="I6" s="40"/>
      <c r="J6" s="40"/>
      <c r="K6" s="41"/>
    </row>
    <row r="7" spans="1:11" ht="12">
      <c r="A7" s="42" t="s">
        <v>63</v>
      </c>
      <c r="B7" s="43"/>
      <c r="C7" s="44"/>
      <c r="D7" s="45"/>
      <c r="E7" s="46"/>
      <c r="F7" s="47"/>
      <c r="G7" s="46"/>
      <c r="H7" s="48"/>
      <c r="I7" s="46"/>
      <c r="J7" s="46"/>
      <c r="K7" s="49">
        <f>I8</f>
        <v>96000</v>
      </c>
    </row>
    <row r="8" spans="1:12" ht="12">
      <c r="A8" s="50" t="s">
        <v>8</v>
      </c>
      <c r="B8" s="51">
        <v>4</v>
      </c>
      <c r="C8" s="52">
        <f>B8*1.5*1000</f>
        <v>6000</v>
      </c>
      <c r="D8" s="53">
        <v>4</v>
      </c>
      <c r="E8" s="54">
        <f>$K$4*D8</f>
        <v>16</v>
      </c>
      <c r="F8" s="55"/>
      <c r="G8" s="55"/>
      <c r="H8" s="56">
        <v>12</v>
      </c>
      <c r="I8" s="57">
        <f>IF(F8="R",0,(IF($G8=1,$C8*H8/$I$1,$E8*$C8*H8/$I$1)))</f>
        <v>96000</v>
      </c>
      <c r="J8" s="58"/>
      <c r="K8" s="59"/>
      <c r="L8" s="60"/>
    </row>
    <row r="9" spans="1:12" ht="12">
      <c r="A9" s="61" t="s">
        <v>59</v>
      </c>
      <c r="B9" s="62"/>
      <c r="C9" s="63"/>
      <c r="D9" s="64"/>
      <c r="E9" s="65"/>
      <c r="F9" s="66"/>
      <c r="G9" s="66"/>
      <c r="H9" s="67"/>
      <c r="I9" s="68"/>
      <c r="J9" s="68"/>
      <c r="K9" s="69">
        <f>I10+I11</f>
        <v>0</v>
      </c>
      <c r="L9" s="60"/>
    </row>
    <row r="10" spans="1:12" ht="12">
      <c r="A10" s="70" t="s">
        <v>14</v>
      </c>
      <c r="B10" s="62">
        <v>92</v>
      </c>
      <c r="C10" s="63">
        <f>B10*1.5*1000</f>
        <v>138000</v>
      </c>
      <c r="D10" s="71">
        <v>4</v>
      </c>
      <c r="E10" s="65">
        <f>$K$4*D10</f>
        <v>16</v>
      </c>
      <c r="F10" s="66" t="s">
        <v>164</v>
      </c>
      <c r="G10" s="66"/>
      <c r="H10" s="67">
        <v>12</v>
      </c>
      <c r="I10" s="72">
        <f>IF(F10="R",0,(IF($G10=1,$C10*H10/$I$1,$E10*$C10*H10/$I$1)))</f>
        <v>0</v>
      </c>
      <c r="J10" s="68"/>
      <c r="K10" s="73"/>
      <c r="L10" s="60"/>
    </row>
    <row r="11" spans="1:12" ht="12">
      <c r="A11" s="50" t="s">
        <v>7</v>
      </c>
      <c r="B11" s="51">
        <v>24</v>
      </c>
      <c r="C11" s="52">
        <f>B11*1.5*1000</f>
        <v>36000</v>
      </c>
      <c r="D11" s="53">
        <v>4</v>
      </c>
      <c r="E11" s="54">
        <f>$K$4*D11</f>
        <v>16</v>
      </c>
      <c r="F11" s="55" t="s">
        <v>164</v>
      </c>
      <c r="G11" s="55"/>
      <c r="H11" s="56">
        <v>12</v>
      </c>
      <c r="I11" s="57">
        <f>IF(F11="R",0,(IF($G11=1,$C11*H11/$I$1,$E11*$C11*H11/$I$1)))</f>
        <v>0</v>
      </c>
      <c r="J11" s="58"/>
      <c r="K11" s="59"/>
      <c r="L11" s="60"/>
    </row>
    <row r="12" spans="1:11" s="79" customFormat="1" ht="4.5" customHeight="1">
      <c r="A12" s="74"/>
      <c r="B12" s="75"/>
      <c r="C12" s="75"/>
      <c r="D12" s="76"/>
      <c r="E12" s="76"/>
      <c r="F12" s="76"/>
      <c r="G12" s="76"/>
      <c r="H12" s="76"/>
      <c r="I12" s="77"/>
      <c r="J12" s="76"/>
      <c r="K12" s="78"/>
    </row>
    <row r="13" spans="1:12" ht="12">
      <c r="A13" s="42" t="s">
        <v>70</v>
      </c>
      <c r="B13" s="43"/>
      <c r="C13" s="80"/>
      <c r="D13" s="47"/>
      <c r="E13" s="81"/>
      <c r="F13" s="82"/>
      <c r="G13" s="82"/>
      <c r="H13" s="48"/>
      <c r="I13" s="83"/>
      <c r="J13" s="84"/>
      <c r="K13" s="49">
        <f>I14-I15</f>
        <v>322240</v>
      </c>
      <c r="L13" s="60"/>
    </row>
    <row r="14" spans="1:12" ht="12">
      <c r="A14" s="70" t="s">
        <v>78</v>
      </c>
      <c r="B14" s="62">
        <v>20</v>
      </c>
      <c r="C14" s="63">
        <f>'Andre kommuner'!B12</f>
        <v>20140</v>
      </c>
      <c r="D14" s="71">
        <v>4</v>
      </c>
      <c r="E14" s="65">
        <f>$K$4*D14</f>
        <v>16</v>
      </c>
      <c r="F14" s="66"/>
      <c r="G14" s="66"/>
      <c r="H14" s="67"/>
      <c r="I14" s="72">
        <f>'Andre kommuner'!E12</f>
        <v>322240</v>
      </c>
      <c r="J14" s="68"/>
      <c r="K14" s="73"/>
      <c r="L14" s="60"/>
    </row>
    <row r="15" spans="1:12" ht="12">
      <c r="A15" s="85" t="s">
        <v>115</v>
      </c>
      <c r="B15" s="51"/>
      <c r="C15" s="52"/>
      <c r="D15" s="53"/>
      <c r="E15" s="54"/>
      <c r="F15" s="55"/>
      <c r="G15" s="55"/>
      <c r="H15" s="56"/>
      <c r="I15" s="57">
        <f>'Andre kommuner'!G13</f>
        <v>0</v>
      </c>
      <c r="J15" s="58"/>
      <c r="K15" s="59"/>
      <c r="L15" s="60"/>
    </row>
    <row r="16" spans="1:12" ht="4.5" customHeight="1">
      <c r="A16" s="86"/>
      <c r="B16" s="62"/>
      <c r="C16" s="63"/>
      <c r="D16" s="64"/>
      <c r="E16" s="65"/>
      <c r="F16" s="66"/>
      <c r="G16" s="66"/>
      <c r="H16" s="67"/>
      <c r="I16" s="57"/>
      <c r="J16" s="68"/>
      <c r="K16" s="73"/>
      <c r="L16" s="60"/>
    </row>
    <row r="17" spans="1:12" ht="12">
      <c r="A17" s="42" t="s">
        <v>60</v>
      </c>
      <c r="B17" s="43"/>
      <c r="C17" s="87"/>
      <c r="D17" s="47"/>
      <c r="E17" s="81"/>
      <c r="F17" s="82"/>
      <c r="G17" s="82"/>
      <c r="H17" s="48"/>
      <c r="I17" s="72"/>
      <c r="J17" s="84"/>
      <c r="K17" s="49">
        <f>SUM(I20:I27)-I32</f>
        <v>840000</v>
      </c>
      <c r="L17" s="60"/>
    </row>
    <row r="18" spans="1:12" ht="4.5" customHeight="1">
      <c r="A18" s="61"/>
      <c r="B18" s="62"/>
      <c r="C18" s="88"/>
      <c r="D18" s="64"/>
      <c r="E18" s="65"/>
      <c r="F18" s="66"/>
      <c r="G18" s="66"/>
      <c r="H18" s="67"/>
      <c r="I18" s="72"/>
      <c r="J18" s="68"/>
      <c r="K18" s="89"/>
      <c r="L18" s="60"/>
    </row>
    <row r="19" spans="1:12" ht="12">
      <c r="A19" s="90" t="s">
        <v>1</v>
      </c>
      <c r="B19" s="62"/>
      <c r="C19" s="63"/>
      <c r="D19" s="64"/>
      <c r="E19" s="65"/>
      <c r="F19" s="66"/>
      <c r="G19" s="66"/>
      <c r="H19" s="67"/>
      <c r="I19" s="72"/>
      <c r="J19" s="68"/>
      <c r="K19" s="91"/>
      <c r="L19" s="60"/>
    </row>
    <row r="20" spans="1:12" ht="12">
      <c r="A20" s="92" t="s">
        <v>61</v>
      </c>
      <c r="B20" s="62">
        <v>14</v>
      </c>
      <c r="C20" s="63">
        <f>SK!B20</f>
        <v>24000</v>
      </c>
      <c r="D20" s="71">
        <v>4</v>
      </c>
      <c r="E20" s="65">
        <f>$K$4*D20</f>
        <v>16</v>
      </c>
      <c r="F20" s="66"/>
      <c r="G20" s="66"/>
      <c r="H20" s="67"/>
      <c r="I20" s="72">
        <f>SK!F20</f>
        <v>384000</v>
      </c>
      <c r="J20" s="68"/>
      <c r="K20" s="91"/>
      <c r="L20" s="60"/>
    </row>
    <row r="21" spans="1:12" ht="12">
      <c r="A21" s="92" t="s">
        <v>62</v>
      </c>
      <c r="B21" s="62">
        <v>6</v>
      </c>
      <c r="C21" s="63">
        <f>SK!B26</f>
        <v>6000</v>
      </c>
      <c r="D21" s="71">
        <v>4</v>
      </c>
      <c r="E21" s="65">
        <f>$K$4*D21</f>
        <v>16</v>
      </c>
      <c r="F21" s="66"/>
      <c r="G21" s="66"/>
      <c r="H21" s="67"/>
      <c r="I21" s="72">
        <f>SK!F26</f>
        <v>96000</v>
      </c>
      <c r="J21" s="68"/>
      <c r="K21" s="91"/>
      <c r="L21" s="60"/>
    </row>
    <row r="22" spans="1:12" ht="12">
      <c r="A22" s="90" t="s">
        <v>3</v>
      </c>
      <c r="B22" s="62"/>
      <c r="C22" s="63"/>
      <c r="D22" s="64"/>
      <c r="E22" s="65"/>
      <c r="F22" s="66"/>
      <c r="G22" s="66"/>
      <c r="H22" s="67"/>
      <c r="I22" s="72"/>
      <c r="J22" s="68"/>
      <c r="K22" s="73"/>
      <c r="L22" s="60"/>
    </row>
    <row r="23" spans="1:12" ht="12">
      <c r="A23" s="70" t="s">
        <v>9</v>
      </c>
      <c r="B23" s="62">
        <v>6</v>
      </c>
      <c r="C23" s="63">
        <f>SK!B34</f>
        <v>9000</v>
      </c>
      <c r="D23" s="71">
        <v>4</v>
      </c>
      <c r="E23" s="65">
        <f>$K$4*D23</f>
        <v>16</v>
      </c>
      <c r="F23" s="66" t="s">
        <v>164</v>
      </c>
      <c r="G23" s="66"/>
      <c r="H23" s="67"/>
      <c r="I23" s="72">
        <f>SK!F34</f>
        <v>0</v>
      </c>
      <c r="J23" s="68"/>
      <c r="K23" s="91"/>
      <c r="L23" s="60"/>
    </row>
    <row r="24" spans="1:12" ht="12">
      <c r="A24" s="90" t="s">
        <v>4</v>
      </c>
      <c r="B24" s="62"/>
      <c r="C24" s="63"/>
      <c r="D24" s="64"/>
      <c r="E24" s="65"/>
      <c r="F24" s="66"/>
      <c r="G24" s="66"/>
      <c r="H24" s="67"/>
      <c r="I24" s="72"/>
      <c r="J24" s="68"/>
      <c r="K24" s="91"/>
      <c r="L24" s="60"/>
    </row>
    <row r="25" spans="1:12" ht="12">
      <c r="A25" s="92" t="s">
        <v>10</v>
      </c>
      <c r="B25" s="62">
        <v>20</v>
      </c>
      <c r="C25" s="63">
        <f>SK!B39</f>
        <v>30000</v>
      </c>
      <c r="D25" s="71">
        <v>3</v>
      </c>
      <c r="E25" s="65">
        <f>$K$4*D25</f>
        <v>12</v>
      </c>
      <c r="F25" s="66"/>
      <c r="G25" s="66"/>
      <c r="H25" s="67"/>
      <c r="I25" s="72">
        <f>SK!F39</f>
        <v>360000</v>
      </c>
      <c r="J25" s="68"/>
      <c r="K25" s="91"/>
      <c r="L25" s="60"/>
    </row>
    <row r="26" spans="1:12" ht="12">
      <c r="A26" s="90" t="s">
        <v>2</v>
      </c>
      <c r="B26" s="62"/>
      <c r="C26" s="63"/>
      <c r="D26" s="64"/>
      <c r="E26" s="65"/>
      <c r="F26" s="66"/>
      <c r="G26" s="66"/>
      <c r="H26" s="67"/>
      <c r="I26" s="72"/>
      <c r="J26" s="68"/>
      <c r="K26" s="91"/>
      <c r="L26" s="60"/>
    </row>
    <row r="27" spans="1:12" ht="12">
      <c r="A27" s="184" t="s">
        <v>109</v>
      </c>
      <c r="B27" s="185"/>
      <c r="C27" s="186">
        <f>SK!B41</f>
        <v>30000</v>
      </c>
      <c r="D27" s="187"/>
      <c r="E27" s="188">
        <f>K4*D27</f>
        <v>0</v>
      </c>
      <c r="F27" s="189"/>
      <c r="G27" s="189"/>
      <c r="H27" s="190">
        <v>12</v>
      </c>
      <c r="I27" s="191">
        <f>SK!F41</f>
        <v>0</v>
      </c>
      <c r="J27" s="192"/>
      <c r="K27" s="193"/>
      <c r="L27" s="60"/>
    </row>
    <row r="28" spans="1:12" ht="12">
      <c r="A28" s="93" t="s">
        <v>110</v>
      </c>
      <c r="B28" s="94"/>
      <c r="C28" s="95">
        <v>4000</v>
      </c>
      <c r="D28" s="96"/>
      <c r="E28" s="97"/>
      <c r="F28" s="98"/>
      <c r="G28" s="98"/>
      <c r="H28" s="239" t="s">
        <v>113</v>
      </c>
      <c r="I28" s="100">
        <f>'Norges eiendommer'!E23</f>
        <v>0</v>
      </c>
      <c r="J28" s="68"/>
      <c r="K28" s="69">
        <f>I28</f>
        <v>0</v>
      </c>
      <c r="L28" s="60"/>
    </row>
    <row r="29" spans="1:12" ht="12">
      <c r="A29" s="93" t="s">
        <v>111</v>
      </c>
      <c r="B29" s="94"/>
      <c r="C29" s="95">
        <v>14000</v>
      </c>
      <c r="D29" s="96"/>
      <c r="E29" s="97"/>
      <c r="F29" s="98"/>
      <c r="G29" s="98"/>
      <c r="H29" s="99">
        <v>1</v>
      </c>
      <c r="I29" s="100">
        <f>'Norges eiendommer'!F23</f>
        <v>0</v>
      </c>
      <c r="J29" s="68"/>
      <c r="K29" s="69">
        <f>I29</f>
        <v>0</v>
      </c>
      <c r="L29" s="60"/>
    </row>
    <row r="30" spans="1:12" ht="12">
      <c r="A30" s="184" t="s">
        <v>112</v>
      </c>
      <c r="B30" s="185"/>
      <c r="C30" s="186">
        <v>29000</v>
      </c>
      <c r="D30" s="187"/>
      <c r="E30" s="188"/>
      <c r="F30" s="189"/>
      <c r="G30" s="189"/>
      <c r="H30" s="190"/>
      <c r="I30" s="191">
        <f>'Norges eiendommer'!G23</f>
        <v>0</v>
      </c>
      <c r="J30" s="192"/>
      <c r="K30" s="194">
        <f>I30</f>
        <v>0</v>
      </c>
      <c r="L30" s="60"/>
    </row>
    <row r="31" spans="1:12" ht="4.5" customHeight="1">
      <c r="A31" s="92"/>
      <c r="B31" s="62"/>
      <c r="C31" s="63"/>
      <c r="D31" s="101"/>
      <c r="E31" s="65"/>
      <c r="F31" s="66"/>
      <c r="G31" s="66"/>
      <c r="H31" s="67"/>
      <c r="I31" s="72"/>
      <c r="J31" s="68"/>
      <c r="K31" s="91"/>
      <c r="L31" s="60"/>
    </row>
    <row r="32" spans="1:12" ht="12">
      <c r="A32" s="102" t="s">
        <v>162</v>
      </c>
      <c r="B32" s="51"/>
      <c r="C32" s="52"/>
      <c r="D32" s="103"/>
      <c r="E32" s="54"/>
      <c r="F32" s="55"/>
      <c r="G32" s="55"/>
      <c r="H32" s="56"/>
      <c r="I32" s="57">
        <f>SK!E48</f>
        <v>0</v>
      </c>
      <c r="J32" s="58"/>
      <c r="K32" s="104"/>
      <c r="L32" s="60"/>
    </row>
    <row r="33" spans="1:12" ht="4.5" customHeight="1">
      <c r="A33" s="105"/>
      <c r="B33" s="106"/>
      <c r="C33" s="107"/>
      <c r="D33" s="108"/>
      <c r="E33" s="109"/>
      <c r="F33" s="110"/>
      <c r="G33" s="110"/>
      <c r="H33" s="111"/>
      <c r="I33" s="77"/>
      <c r="J33" s="112"/>
      <c r="K33" s="113"/>
      <c r="L33" s="60"/>
    </row>
    <row r="34" spans="1:12" ht="12">
      <c r="A34" s="114" t="s">
        <v>71</v>
      </c>
      <c r="B34" s="94"/>
      <c r="C34" s="95"/>
      <c r="D34" s="101"/>
      <c r="E34" s="65"/>
      <c r="F34" s="66"/>
      <c r="G34" s="66"/>
      <c r="H34" s="67"/>
      <c r="I34" s="72"/>
      <c r="J34" s="68"/>
      <c r="K34" s="91"/>
      <c r="L34" s="60"/>
    </row>
    <row r="35" spans="1:12" ht="4.5" customHeight="1">
      <c r="A35" s="93"/>
      <c r="B35" s="94"/>
      <c r="C35" s="95"/>
      <c r="D35" s="64"/>
      <c r="E35" s="65"/>
      <c r="F35" s="66"/>
      <c r="G35" s="66"/>
      <c r="H35" s="67"/>
      <c r="I35" s="72"/>
      <c r="J35" s="68"/>
      <c r="K35" s="91"/>
      <c r="L35" s="60"/>
    </row>
    <row r="36" spans="1:12" s="120" customFormat="1" ht="13.5" customHeight="1">
      <c r="A36" s="114" t="s">
        <v>116</v>
      </c>
      <c r="B36" s="115"/>
      <c r="C36" s="116"/>
      <c r="D36" s="101" t="s">
        <v>127</v>
      </c>
      <c r="E36" s="117"/>
      <c r="F36" s="117"/>
      <c r="G36" s="117"/>
      <c r="H36" s="117"/>
      <c r="I36" s="118"/>
      <c r="J36" s="117"/>
      <c r="K36" s="69">
        <f>I37+I38+I39</f>
        <v>0</v>
      </c>
      <c r="L36" s="119"/>
    </row>
    <row r="37" spans="1:12" ht="13.5" customHeight="1">
      <c r="A37" s="93" t="s">
        <v>117</v>
      </c>
      <c r="B37" s="94"/>
      <c r="C37" s="122"/>
      <c r="D37" s="279">
        <f>Pos_tjen!J4</f>
        <v>0</v>
      </c>
      <c r="E37" s="76"/>
      <c r="F37" s="76"/>
      <c r="G37" s="76"/>
      <c r="H37" s="76"/>
      <c r="I37" s="72">
        <f>Pos_tjen!Q8</f>
        <v>0</v>
      </c>
      <c r="J37" s="76"/>
      <c r="K37" s="78"/>
      <c r="L37" s="60"/>
    </row>
    <row r="38" spans="1:12" ht="13.5" customHeight="1">
      <c r="A38" s="93" t="s">
        <v>118</v>
      </c>
      <c r="B38" s="94"/>
      <c r="C38" s="122"/>
      <c r="D38" s="279"/>
      <c r="E38" s="76"/>
      <c r="F38" s="76"/>
      <c r="G38" s="76"/>
      <c r="H38" s="76"/>
      <c r="I38" s="72">
        <f>Pos_tjen!Q23</f>
        <v>0</v>
      </c>
      <c r="J38" s="76"/>
      <c r="K38" s="78"/>
      <c r="L38" s="60"/>
    </row>
    <row r="39" spans="1:12" ht="13.5" customHeight="1">
      <c r="A39" s="93" t="s">
        <v>155</v>
      </c>
      <c r="B39" s="94"/>
      <c r="C39" s="122"/>
      <c r="D39" s="279">
        <f>Pos_tjen!J33</f>
        <v>0</v>
      </c>
      <c r="E39" s="76"/>
      <c r="F39" s="76"/>
      <c r="G39" s="76"/>
      <c r="H39" s="76"/>
      <c r="I39" s="72">
        <f>Pos_tjen!Q36</f>
        <v>0</v>
      </c>
      <c r="J39" s="76"/>
      <c r="K39" s="78"/>
      <c r="L39" s="60"/>
    </row>
    <row r="40" spans="1:12" ht="4.5" customHeight="1">
      <c r="A40" s="121"/>
      <c r="B40" s="94"/>
      <c r="C40" s="122"/>
      <c r="D40" s="101"/>
      <c r="E40" s="76"/>
      <c r="F40" s="76"/>
      <c r="G40" s="76"/>
      <c r="H40" s="76"/>
      <c r="I40" s="72"/>
      <c r="J40" s="76"/>
      <c r="K40" s="78"/>
      <c r="L40" s="60"/>
    </row>
    <row r="41" spans="1:12" ht="11.25" customHeight="1">
      <c r="A41" s="114" t="s">
        <v>74</v>
      </c>
      <c r="B41" s="94"/>
      <c r="C41" s="122"/>
      <c r="D41" s="101"/>
      <c r="E41" s="76"/>
      <c r="F41" s="76"/>
      <c r="G41" s="76"/>
      <c r="H41" s="76"/>
      <c r="I41" s="72"/>
      <c r="J41" s="76"/>
      <c r="K41" s="69">
        <f>I42</f>
        <v>0</v>
      </c>
      <c r="L41" s="60"/>
    </row>
    <row r="42" spans="1:12" ht="11.25" customHeight="1">
      <c r="A42" s="93" t="s">
        <v>72</v>
      </c>
      <c r="B42" s="94"/>
      <c r="C42" s="122">
        <v>10000</v>
      </c>
      <c r="D42" s="71"/>
      <c r="E42" s="65">
        <f>$K$4*D42</f>
        <v>0</v>
      </c>
      <c r="F42" s="66"/>
      <c r="G42" s="66"/>
      <c r="H42" s="67">
        <v>12</v>
      </c>
      <c r="I42" s="72">
        <f>IF(F42="R",0,(IF($G42=1,$C42*H42/$I$1,$E42*$C42*H42/$I$1)))</f>
        <v>0</v>
      </c>
      <c r="J42" s="76"/>
      <c r="K42" s="89"/>
      <c r="L42" s="60"/>
    </row>
    <row r="43" spans="1:12" ht="11.25" customHeight="1">
      <c r="A43" s="114" t="s">
        <v>75</v>
      </c>
      <c r="B43" s="94"/>
      <c r="C43" s="122"/>
      <c r="D43" s="101"/>
      <c r="E43" s="76"/>
      <c r="F43" s="76"/>
      <c r="G43" s="76"/>
      <c r="H43" s="67"/>
      <c r="I43" s="72"/>
      <c r="J43" s="76"/>
      <c r="K43" s="89"/>
      <c r="L43" s="60"/>
    </row>
    <row r="44" spans="1:12" ht="11.25" customHeight="1">
      <c r="A44" s="93" t="s">
        <v>73</v>
      </c>
      <c r="B44" s="94"/>
      <c r="C44" s="122">
        <v>5000</v>
      </c>
      <c r="D44" s="71"/>
      <c r="E44" s="65">
        <f>$K$4*D44</f>
        <v>0</v>
      </c>
      <c r="F44" s="66"/>
      <c r="G44" s="66"/>
      <c r="H44" s="67">
        <v>12</v>
      </c>
      <c r="I44" s="72">
        <f>IF(F44="R",0,(IF($G44=1,$C44*H44/$I$1,$E44*$C44*H44/$I$1)))</f>
        <v>0</v>
      </c>
      <c r="J44" s="76"/>
      <c r="K44" s="69">
        <f>I44</f>
        <v>0</v>
      </c>
      <c r="L44" s="60"/>
    </row>
    <row r="45" spans="1:12" ht="4.5" customHeight="1">
      <c r="A45" s="93"/>
      <c r="B45" s="94"/>
      <c r="C45" s="95"/>
      <c r="D45" s="64"/>
      <c r="E45" s="65"/>
      <c r="F45" s="66"/>
      <c r="G45" s="66"/>
      <c r="H45" s="67"/>
      <c r="I45" s="57"/>
      <c r="J45" s="68"/>
      <c r="K45" s="91"/>
      <c r="L45" s="60"/>
    </row>
    <row r="46" spans="1:12" ht="12">
      <c r="A46" s="42" t="s">
        <v>5</v>
      </c>
      <c r="B46" s="43"/>
      <c r="C46" s="87"/>
      <c r="D46" s="47"/>
      <c r="E46" s="81"/>
      <c r="F46" s="82"/>
      <c r="G46" s="82"/>
      <c r="H46" s="48"/>
      <c r="I46" s="72"/>
      <c r="J46" s="84"/>
      <c r="K46" s="49">
        <f>SUM(I47:I47)</f>
        <v>480000</v>
      </c>
      <c r="L46" s="60"/>
    </row>
    <row r="47" spans="1:12" ht="12.75" thickBot="1">
      <c r="A47" s="50" t="s">
        <v>46</v>
      </c>
      <c r="B47" s="51"/>
      <c r="C47" s="52">
        <v>30000</v>
      </c>
      <c r="D47" s="53">
        <v>4</v>
      </c>
      <c r="E47" s="54">
        <f>$K$4*D47</f>
        <v>16</v>
      </c>
      <c r="F47" s="55"/>
      <c r="G47" s="55"/>
      <c r="H47" s="56">
        <v>12</v>
      </c>
      <c r="I47" s="72">
        <f>IF(F47="R",0,(IF($G47=1,$C47*H47/$I$1,$E47*$C47*H47/$I$1)))</f>
        <v>480000</v>
      </c>
      <c r="J47" s="58"/>
      <c r="K47" s="104"/>
      <c r="L47" s="60"/>
    </row>
    <row r="48" spans="1:12" s="22" customFormat="1" ht="15.75" thickBot="1">
      <c r="A48" s="123" t="s">
        <v>6</v>
      </c>
      <c r="B48" s="124">
        <f>SUM(B7:B47)</f>
        <v>186</v>
      </c>
      <c r="C48" s="125"/>
      <c r="D48" s="126" t="s">
        <v>128</v>
      </c>
      <c r="E48" s="127"/>
      <c r="F48" s="128"/>
      <c r="G48" s="128"/>
      <c r="H48" s="128"/>
      <c r="I48" s="128"/>
      <c r="J48" s="128"/>
      <c r="K48" s="129">
        <f>SUM(K7:K47)</f>
        <v>1738240</v>
      </c>
      <c r="L48" s="130"/>
    </row>
    <row r="49" spans="1:12" s="22" customFormat="1" ht="15">
      <c r="A49" s="131"/>
      <c r="B49" s="132"/>
      <c r="C49" s="133"/>
      <c r="D49" s="134"/>
      <c r="E49" s="135"/>
      <c r="F49" s="135"/>
      <c r="G49" s="135"/>
      <c r="H49" s="135"/>
      <c r="I49" s="135"/>
      <c r="J49" s="135"/>
      <c r="K49" s="136"/>
      <c r="L49" s="130"/>
    </row>
    <row r="50" ht="12">
      <c r="A50" s="16" t="s">
        <v>161</v>
      </c>
    </row>
    <row r="51" spans="1:5" ht="12">
      <c r="A51" s="16" t="s">
        <v>158</v>
      </c>
      <c r="E51" s="60"/>
    </row>
    <row r="52" ht="12">
      <c r="A52" s="16" t="s">
        <v>77</v>
      </c>
    </row>
  </sheetData>
  <sheetProtection password="E1F6" sheet="1" objects="1" scenarios="1"/>
  <mergeCells count="2">
    <mergeCell ref="F2:K2"/>
    <mergeCell ref="A2:A3"/>
  </mergeCells>
  <printOptions horizontalCentered="1"/>
  <pageMargins left="0.7874015748031497" right="0.1968503937007874" top="0.7480314960629921" bottom="0.5118110236220472" header="0.5118110236220472" footer="0.5118110236220472"/>
  <pageSetup horizontalDpi="525" verticalDpi="525" orientation="landscape" paperSize="9" scale="77" r:id="rId4"/>
  <headerFooter alignWithMargins="0">
    <oddHeader>&amp;C&amp;"Calibri,Fet"&amp;16Bilag 1 - Beregning av årskostnad 2010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Normal="90" zoomScaleSheetLayoutView="100" zoomScalePageLayoutView="0" workbookViewId="0" topLeftCell="A1">
      <selection activeCell="C28" sqref="C28"/>
    </sheetView>
  </sheetViews>
  <sheetFormatPr defaultColWidth="20.421875" defaultRowHeight="12.75"/>
  <cols>
    <col min="1" max="1" width="39.28125" style="2" customWidth="1"/>
    <col min="2" max="2" width="10.7109375" style="2" bestFit="1" customWidth="1"/>
    <col min="3" max="3" width="11.57421875" style="1" customWidth="1"/>
    <col min="4" max="4" width="13.00390625" style="1" customWidth="1"/>
    <col min="5" max="5" width="15.140625" style="1" customWidth="1"/>
    <col min="6" max="6" width="13.7109375" style="2" customWidth="1"/>
    <col min="7" max="7" width="20.421875" style="3" hidden="1" customWidth="1"/>
    <col min="8" max="8" width="13.8515625" style="2" customWidth="1"/>
    <col min="9" max="9" width="19.28125" style="2" customWidth="1"/>
    <col min="10" max="11" width="10.140625" style="2" customWidth="1"/>
    <col min="12" max="16384" width="20.421875" style="2" customWidth="1"/>
  </cols>
  <sheetData>
    <row r="1" spans="1:11" ht="15.75">
      <c r="A1" s="137"/>
      <c r="B1" s="292" t="s">
        <v>122</v>
      </c>
      <c r="C1" s="292"/>
      <c r="D1" s="292"/>
      <c r="E1" s="292"/>
      <c r="F1" s="293" t="s">
        <v>126</v>
      </c>
      <c r="G1" s="139"/>
      <c r="H1" s="137"/>
      <c r="I1" s="137"/>
      <c r="J1" s="137"/>
      <c r="K1" s="137"/>
    </row>
    <row r="2" spans="1:11" ht="15.75">
      <c r="A2" s="160" t="s">
        <v>120</v>
      </c>
      <c r="B2" s="167" t="s">
        <v>121</v>
      </c>
      <c r="C2" s="22" t="s">
        <v>15</v>
      </c>
      <c r="D2" s="292" t="s">
        <v>123</v>
      </c>
      <c r="E2" s="292"/>
      <c r="F2" s="293"/>
      <c r="G2" s="139"/>
      <c r="H2" s="137"/>
      <c r="I2" s="296"/>
      <c r="J2" s="296"/>
      <c r="K2" s="296"/>
    </row>
    <row r="3" spans="1:11" ht="31.5">
      <c r="A3" s="137"/>
      <c r="B3" s="138"/>
      <c r="C3" s="22" t="s">
        <v>16</v>
      </c>
      <c r="D3" s="168" t="s">
        <v>124</v>
      </c>
      <c r="E3" s="168" t="s">
        <v>125</v>
      </c>
      <c r="F3" s="293"/>
      <c r="G3" s="139"/>
      <c r="H3" s="138"/>
      <c r="I3" s="150"/>
      <c r="J3" s="150"/>
      <c r="K3" s="150"/>
    </row>
    <row r="4" spans="1:11" ht="15.75">
      <c r="A4" s="137"/>
      <c r="B4" s="138"/>
      <c r="C4" s="137"/>
      <c r="D4" s="138"/>
      <c r="E4" s="138"/>
      <c r="F4" s="138"/>
      <c r="G4" s="139"/>
      <c r="H4" s="137"/>
      <c r="I4" s="297"/>
      <c r="J4" s="298"/>
      <c r="K4" s="298"/>
    </row>
    <row r="5" spans="1:11" ht="15.75">
      <c r="A5" s="137" t="s">
        <v>17</v>
      </c>
      <c r="B5" s="140">
        <v>10000</v>
      </c>
      <c r="C5" s="141">
        <v>12</v>
      </c>
      <c r="D5" s="140"/>
      <c r="E5" s="140"/>
      <c r="F5" s="142">
        <f>IF(Kalkulator!$F$20="R",0,IF(Kalkulator!$G$20=1,SK!B5*SK!C5/12,Kalkulator!$E$20*B5*C5/12))</f>
        <v>160000</v>
      </c>
      <c r="G5" s="139">
        <f>IF(D5="x",F5,0)</f>
        <v>0</v>
      </c>
      <c r="H5" s="143"/>
      <c r="I5" s="297"/>
      <c r="J5" s="298"/>
      <c r="K5" s="298"/>
    </row>
    <row r="6" spans="1:11" ht="15.75">
      <c r="A6" s="137" t="s">
        <v>18</v>
      </c>
      <c r="B6" s="140">
        <v>3000</v>
      </c>
      <c r="C6" s="141">
        <v>12</v>
      </c>
      <c r="D6" s="140"/>
      <c r="E6" s="140"/>
      <c r="F6" s="142">
        <f>IF(Kalkulator!$F$20="R",0,IF(Kalkulator!$G$20=1,SK!B6*SK!C6/12,Kalkulator!$E$20*B6*C6/12))</f>
        <v>48000</v>
      </c>
      <c r="G6" s="139">
        <f aca="true" t="shared" si="0" ref="G6:G24">IF(D6="x",F6,0)</f>
        <v>0</v>
      </c>
      <c r="H6" s="143"/>
      <c r="I6" s="150"/>
      <c r="J6" s="151"/>
      <c r="K6" s="151"/>
    </row>
    <row r="7" spans="1:11" ht="15.75">
      <c r="A7" s="137" t="s">
        <v>19</v>
      </c>
      <c r="B7" s="140">
        <v>1000</v>
      </c>
      <c r="C7" s="141">
        <v>12</v>
      </c>
      <c r="D7" s="140"/>
      <c r="E7" s="140"/>
      <c r="F7" s="142">
        <f>IF(Kalkulator!$F$20="R",0,IF(Kalkulator!$G$20=1,SK!B7*SK!C7/12,Kalkulator!$E$20*B7*C7/12))</f>
        <v>16000</v>
      </c>
      <c r="G7" s="139">
        <f t="shared" si="0"/>
        <v>0</v>
      </c>
      <c r="H7" s="143"/>
      <c r="I7" s="294"/>
      <c r="J7" s="294"/>
      <c r="K7" s="294"/>
    </row>
    <row r="8" spans="1:11" ht="15.75">
      <c r="A8" s="137" t="s">
        <v>20</v>
      </c>
      <c r="B8" s="140">
        <v>500</v>
      </c>
      <c r="C8" s="141">
        <v>12</v>
      </c>
      <c r="D8" s="140"/>
      <c r="E8" s="140"/>
      <c r="F8" s="142">
        <f>IF(Kalkulator!$F$20="R",0,IF(Kalkulator!$G$20=1,SK!B8*SK!C8/12,Kalkulator!$E$20*B8*C8/12))</f>
        <v>8000</v>
      </c>
      <c r="G8" s="139">
        <f t="shared" si="0"/>
        <v>0</v>
      </c>
      <c r="H8" s="143"/>
      <c r="I8" s="269"/>
      <c r="J8" s="150"/>
      <c r="K8" s="150"/>
    </row>
    <row r="9" spans="1:11" ht="15.75">
      <c r="A9" s="137" t="s">
        <v>21</v>
      </c>
      <c r="B9" s="140">
        <v>200</v>
      </c>
      <c r="C9" s="141">
        <v>12</v>
      </c>
      <c r="D9" s="140"/>
      <c r="E9" s="140"/>
      <c r="F9" s="142">
        <f>IF(Kalkulator!$F$20="R",0,IF(Kalkulator!$G$20=1,SK!B9*SK!C9/12,Kalkulator!$E$20*B9*C9/12))</f>
        <v>3200</v>
      </c>
      <c r="G9" s="139">
        <f t="shared" si="0"/>
        <v>0</v>
      </c>
      <c r="H9" s="143"/>
      <c r="I9" s="150"/>
      <c r="J9" s="270"/>
      <c r="K9" s="270"/>
    </row>
    <row r="10" spans="1:11" ht="15.75">
      <c r="A10" s="137" t="s">
        <v>22</v>
      </c>
      <c r="B10" s="140">
        <v>0</v>
      </c>
      <c r="C10" s="141"/>
      <c r="D10" s="140"/>
      <c r="E10" s="140"/>
      <c r="F10" s="142">
        <f>IF(Kalkulator!$F$20="R",0,IF(Kalkulator!$G$20=1,SK!B10*SK!C10/12,Kalkulator!$E$20*B10*C10/12))</f>
        <v>0</v>
      </c>
      <c r="G10" s="139">
        <f t="shared" si="0"/>
        <v>0</v>
      </c>
      <c r="H10" s="143"/>
      <c r="I10" s="150"/>
      <c r="J10" s="270"/>
      <c r="K10" s="270"/>
    </row>
    <row r="11" spans="1:11" ht="15.75">
      <c r="A11" s="137" t="s">
        <v>23</v>
      </c>
      <c r="B11" s="140">
        <v>3000</v>
      </c>
      <c r="C11" s="141">
        <v>12</v>
      </c>
      <c r="D11" s="140"/>
      <c r="E11" s="140"/>
      <c r="F11" s="142">
        <f>IF(Kalkulator!$F$20="R",0,IF(Kalkulator!$G$20=1,SK!B11*SK!C11/12,Kalkulator!$E$20*B11*C11/12))</f>
        <v>48000</v>
      </c>
      <c r="G11" s="139">
        <f t="shared" si="0"/>
        <v>0</v>
      </c>
      <c r="H11" s="143"/>
      <c r="I11" s="150"/>
      <c r="J11" s="270"/>
      <c r="K11" s="270"/>
    </row>
    <row r="12" spans="1:11" ht="15.75">
      <c r="A12" s="137" t="s">
        <v>24</v>
      </c>
      <c r="B12" s="140">
        <v>1000</v>
      </c>
      <c r="C12" s="141">
        <v>12</v>
      </c>
      <c r="D12" s="140"/>
      <c r="E12" s="140"/>
      <c r="F12" s="142">
        <f>IF(Kalkulator!$F$20="R",0,IF(Kalkulator!$G$20=1,SK!B12*SK!C12/12,Kalkulator!$E$20*B12*C12/12))</f>
        <v>16000</v>
      </c>
      <c r="G12" s="139">
        <f t="shared" si="0"/>
        <v>0</v>
      </c>
      <c r="H12" s="143"/>
      <c r="I12" s="150"/>
      <c r="J12" s="270"/>
      <c r="K12" s="270"/>
    </row>
    <row r="13" spans="1:11" ht="15.75">
      <c r="A13" s="137" t="s">
        <v>25</v>
      </c>
      <c r="B13" s="140">
        <v>500</v>
      </c>
      <c r="C13" s="141">
        <v>12</v>
      </c>
      <c r="D13" s="140"/>
      <c r="E13" s="140"/>
      <c r="F13" s="142">
        <f>IF(Kalkulator!$F$20="R",0,IF(Kalkulator!$G$20=1,SK!B13*SK!C13/12,Kalkulator!$E$20*B13*C13/12))</f>
        <v>8000</v>
      </c>
      <c r="G13" s="139">
        <f t="shared" si="0"/>
        <v>0</v>
      </c>
      <c r="H13" s="143"/>
      <c r="I13" s="150"/>
      <c r="J13" s="270"/>
      <c r="K13" s="270"/>
    </row>
    <row r="14" spans="1:11" ht="15.75">
      <c r="A14" s="137" t="s">
        <v>26</v>
      </c>
      <c r="B14" s="140">
        <v>300</v>
      </c>
      <c r="C14" s="141">
        <v>12</v>
      </c>
      <c r="D14" s="140"/>
      <c r="E14" s="140"/>
      <c r="F14" s="142">
        <f>IF(Kalkulator!$F$20="R",0,IF(Kalkulator!$G$20=1,SK!B14*SK!C14/12,Kalkulator!$E$20*B14*C14/12))</f>
        <v>4800</v>
      </c>
      <c r="G14" s="139">
        <f t="shared" si="0"/>
        <v>0</v>
      </c>
      <c r="H14" s="143"/>
      <c r="I14" s="150"/>
      <c r="J14" s="270"/>
      <c r="K14" s="270"/>
    </row>
    <row r="15" spans="1:11" ht="15.75">
      <c r="A15" s="137" t="s">
        <v>27</v>
      </c>
      <c r="B15" s="140">
        <v>0</v>
      </c>
      <c r="C15" s="144">
        <v>12</v>
      </c>
      <c r="D15" s="140"/>
      <c r="E15" s="140"/>
      <c r="F15" s="142">
        <f>IF(Kalkulator!$F$20="R",0,IF(Kalkulator!$G$20=1,SK!B15*SK!C15/12,Kalkulator!$E$20*B15*C15/12))</f>
        <v>0</v>
      </c>
      <c r="G15" s="139">
        <f t="shared" si="0"/>
        <v>0</v>
      </c>
      <c r="H15" s="143"/>
      <c r="I15" s="150"/>
      <c r="J15" s="151"/>
      <c r="K15" s="151"/>
    </row>
    <row r="16" spans="1:11" ht="15.75">
      <c r="A16" s="137" t="s">
        <v>28</v>
      </c>
      <c r="B16" s="140">
        <v>0</v>
      </c>
      <c r="C16" s="144">
        <v>12</v>
      </c>
      <c r="D16" s="140"/>
      <c r="E16" s="140"/>
      <c r="F16" s="142">
        <f>IF(Kalkulator!$F$20="R",0,IF(Kalkulator!$G$20=1,SK!B16*SK!C16/12,Kalkulator!$E$20*B16*C16/12))</f>
        <v>0</v>
      </c>
      <c r="G16" s="139">
        <f t="shared" si="0"/>
        <v>0</v>
      </c>
      <c r="H16" s="143"/>
      <c r="I16" s="150"/>
      <c r="J16" s="270"/>
      <c r="K16" s="270"/>
    </row>
    <row r="17" spans="1:11" ht="15.75">
      <c r="A17" s="137" t="s">
        <v>29</v>
      </c>
      <c r="B17" s="140">
        <v>3500</v>
      </c>
      <c r="C17" s="141">
        <v>12</v>
      </c>
      <c r="D17" s="140"/>
      <c r="E17" s="140"/>
      <c r="F17" s="142">
        <f>IF(Kalkulator!$F$20="R",0,IF(Kalkulator!$G$20=1,SK!B17*SK!C17/12,Kalkulator!$E$20*B17*C17/12))</f>
        <v>56000</v>
      </c>
      <c r="G17" s="139">
        <f t="shared" si="0"/>
        <v>0</v>
      </c>
      <c r="H17" s="143"/>
      <c r="I17" s="150"/>
      <c r="J17" s="270"/>
      <c r="K17" s="270"/>
    </row>
    <row r="18" spans="1:11" ht="15.75">
      <c r="A18" s="137" t="s">
        <v>30</v>
      </c>
      <c r="B18" s="140">
        <v>1000</v>
      </c>
      <c r="C18" s="141">
        <v>12</v>
      </c>
      <c r="D18" s="140"/>
      <c r="E18" s="140"/>
      <c r="F18" s="142">
        <f>IF(Kalkulator!$F$20="R",0,IF(Kalkulator!$G$20=1,SK!B18*SK!C18/12,Kalkulator!$E$20*B18*C18/12))</f>
        <v>16000</v>
      </c>
      <c r="G18" s="139">
        <f t="shared" si="0"/>
        <v>0</v>
      </c>
      <c r="H18" s="143"/>
      <c r="I18" s="150"/>
      <c r="J18" s="151"/>
      <c r="K18" s="151"/>
    </row>
    <row r="19" spans="1:11" ht="6" customHeight="1">
      <c r="A19" s="137"/>
      <c r="B19" s="140"/>
      <c r="C19" s="141"/>
      <c r="D19" s="140"/>
      <c r="E19" s="140"/>
      <c r="F19" s="145"/>
      <c r="G19" s="139"/>
      <c r="H19" s="143"/>
      <c r="I19" s="269"/>
      <c r="J19" s="151"/>
      <c r="K19" s="151"/>
    </row>
    <row r="20" spans="1:11" ht="15.75">
      <c r="A20" s="137" t="s">
        <v>31</v>
      </c>
      <c r="B20" s="140">
        <f>SUM(B5:B18)</f>
        <v>24000</v>
      </c>
      <c r="C20" s="141"/>
      <c r="D20" s="140"/>
      <c r="E20" s="140">
        <f>SUM(E5:E18)</f>
        <v>0</v>
      </c>
      <c r="F20" s="145">
        <f>SUM(F5:F18)</f>
        <v>384000</v>
      </c>
      <c r="G20" s="139">
        <f>SUM(G5:G19)</f>
        <v>0</v>
      </c>
      <c r="H20" s="143"/>
      <c r="I20" s="271"/>
      <c r="J20" s="295"/>
      <c r="K20" s="295"/>
    </row>
    <row r="21" spans="1:11" ht="6" customHeight="1">
      <c r="A21" s="137"/>
      <c r="B21" s="140"/>
      <c r="C21" s="141"/>
      <c r="D21" s="140"/>
      <c r="E21" s="140"/>
      <c r="F21" s="145"/>
      <c r="G21" s="139"/>
      <c r="H21" s="143"/>
      <c r="I21" s="143"/>
      <c r="J21" s="137"/>
      <c r="K21" s="137"/>
    </row>
    <row r="22" spans="1:11" ht="15.75">
      <c r="A22" s="137" t="s">
        <v>32</v>
      </c>
      <c r="B22" s="140">
        <v>2400</v>
      </c>
      <c r="C22" s="141">
        <v>12</v>
      </c>
      <c r="D22" s="140"/>
      <c r="E22" s="140"/>
      <c r="F22" s="142">
        <f>IF(Kalkulator!$F$21="R",0,IF(Kalkulator!$G$21=1,SK!B22*SK!C22/12,Kalkulator!$E$21*B22*C22/12))</f>
        <v>38400</v>
      </c>
      <c r="G22" s="139">
        <f t="shared" si="0"/>
        <v>0</v>
      </c>
      <c r="H22" s="143"/>
      <c r="I22" s="143"/>
      <c r="J22" s="137"/>
      <c r="K22" s="137"/>
    </row>
    <row r="23" spans="1:11" ht="15.75">
      <c r="A23" s="137" t="s">
        <v>33</v>
      </c>
      <c r="B23" s="140">
        <v>3200</v>
      </c>
      <c r="C23" s="141">
        <v>12</v>
      </c>
      <c r="D23" s="140"/>
      <c r="E23" s="140"/>
      <c r="F23" s="142">
        <f>IF(Kalkulator!$F$21="R",0,IF(Kalkulator!$G$21=1,SK!B23*SK!C23/12,Kalkulator!$E$21*B23*C23/12))</f>
        <v>51200</v>
      </c>
      <c r="G23" s="139">
        <f t="shared" si="0"/>
        <v>0</v>
      </c>
      <c r="H23" s="143"/>
      <c r="I23" s="143"/>
      <c r="J23" s="137"/>
      <c r="K23" s="137"/>
    </row>
    <row r="24" spans="1:11" ht="15.75">
      <c r="A24" s="137" t="s">
        <v>34</v>
      </c>
      <c r="B24" s="140">
        <v>400</v>
      </c>
      <c r="C24" s="141">
        <v>12</v>
      </c>
      <c r="D24" s="140"/>
      <c r="E24" s="140"/>
      <c r="F24" s="142">
        <f>IF(Kalkulator!$F$21="R",0,IF(Kalkulator!$G$21=1,SK!B24*SK!C24/12,Kalkulator!$E$21*B24*C24/12))</f>
        <v>6400</v>
      </c>
      <c r="G24" s="139">
        <f t="shared" si="0"/>
        <v>0</v>
      </c>
      <c r="H24" s="143"/>
      <c r="I24" s="143"/>
      <c r="J24" s="137"/>
      <c r="K24" s="137"/>
    </row>
    <row r="25" spans="1:11" ht="6" customHeight="1">
      <c r="A25" s="137"/>
      <c r="B25" s="140"/>
      <c r="C25" s="141"/>
      <c r="D25" s="140"/>
      <c r="E25" s="140"/>
      <c r="F25" s="145"/>
      <c r="G25" s="139"/>
      <c r="H25" s="143"/>
      <c r="I25" s="143"/>
      <c r="J25" s="137"/>
      <c r="K25" s="137"/>
    </row>
    <row r="26" spans="1:11" ht="15.75">
      <c r="A26" s="137" t="s">
        <v>56</v>
      </c>
      <c r="B26" s="140">
        <f>SUM(B22:B25)</f>
        <v>6000</v>
      </c>
      <c r="C26" s="141"/>
      <c r="D26" s="140"/>
      <c r="E26" s="140">
        <f>SUM(E22:E24)</f>
        <v>0</v>
      </c>
      <c r="F26" s="145">
        <f>SUM(F22:F25)</f>
        <v>96000</v>
      </c>
      <c r="G26" s="139">
        <f>SUM(G22:G24)</f>
        <v>0</v>
      </c>
      <c r="H26" s="143"/>
      <c r="I26" s="143"/>
      <c r="J26" s="137"/>
      <c r="K26" s="137"/>
    </row>
    <row r="27" spans="1:11" ht="6" customHeight="1">
      <c r="A27" s="137"/>
      <c r="B27" s="140"/>
      <c r="C27" s="141"/>
      <c r="D27" s="140"/>
      <c r="E27" s="140"/>
      <c r="F27" s="145"/>
      <c r="G27" s="139"/>
      <c r="H27" s="143"/>
      <c r="I27" s="143"/>
      <c r="J27" s="137"/>
      <c r="K27" s="137"/>
    </row>
    <row r="28" spans="1:11" ht="15.75">
      <c r="A28" s="146" t="s">
        <v>35</v>
      </c>
      <c r="B28" s="147">
        <f>B20+B26</f>
        <v>30000</v>
      </c>
      <c r="C28" s="148"/>
      <c r="D28" s="147"/>
      <c r="E28" s="147">
        <f>E20+E26</f>
        <v>0</v>
      </c>
      <c r="F28" s="149">
        <f>F20+F26</f>
        <v>480000</v>
      </c>
      <c r="G28" s="139">
        <f>G20+G26</f>
        <v>0</v>
      </c>
      <c r="H28" s="143"/>
      <c r="I28" s="143"/>
      <c r="J28" s="137"/>
      <c r="K28" s="137"/>
    </row>
    <row r="29" spans="1:11" ht="6" customHeight="1">
      <c r="A29" s="137"/>
      <c r="B29" s="138"/>
      <c r="C29" s="137"/>
      <c r="D29" s="138"/>
      <c r="E29" s="138"/>
      <c r="F29" s="137"/>
      <c r="G29" s="139"/>
      <c r="H29" s="143"/>
      <c r="I29" s="143"/>
      <c r="J29" s="137"/>
      <c r="K29" s="137"/>
    </row>
    <row r="30" spans="1:11" ht="7.5" customHeight="1">
      <c r="A30" s="137"/>
      <c r="B30" s="150"/>
      <c r="C30" s="151"/>
      <c r="D30" s="150"/>
      <c r="E30" s="150"/>
      <c r="F30" s="142"/>
      <c r="G30" s="139"/>
      <c r="H30" s="143"/>
      <c r="I30" s="143"/>
      <c r="J30" s="137"/>
      <c r="K30" s="137"/>
    </row>
    <row r="31" spans="1:11" ht="15.75">
      <c r="A31" s="137" t="s">
        <v>36</v>
      </c>
      <c r="B31" s="140">
        <v>6000</v>
      </c>
      <c r="C31" s="141">
        <v>12</v>
      </c>
      <c r="D31" s="138"/>
      <c r="E31" s="138"/>
      <c r="F31" s="142">
        <f>IF(Kalkulator!$F$23="R",0,IF(Kalkulator!$G$23=1,SK!B31*SK!C31/12,Kalkulator!$E$23*B31*C31/12))</f>
        <v>0</v>
      </c>
      <c r="G31" s="139"/>
      <c r="H31" s="143"/>
      <c r="I31" s="143"/>
      <c r="J31" s="137"/>
      <c r="K31" s="137"/>
    </row>
    <row r="32" spans="1:11" ht="15.75">
      <c r="A32" s="137" t="s">
        <v>37</v>
      </c>
      <c r="B32" s="140">
        <v>3000</v>
      </c>
      <c r="C32" s="141">
        <v>12</v>
      </c>
      <c r="D32" s="138"/>
      <c r="E32" s="138"/>
      <c r="F32" s="142">
        <f>IF(Kalkulator!$F$23="R",0,IF(Kalkulator!$G$23=1,SK!B32*SK!C32/12,Kalkulator!$E$23*B32*C32/12))</f>
        <v>0</v>
      </c>
      <c r="G32" s="139"/>
      <c r="H32" s="143"/>
      <c r="I32" s="143"/>
      <c r="J32" s="137"/>
      <c r="K32" s="137"/>
    </row>
    <row r="33" spans="1:11" ht="7.5" customHeight="1">
      <c r="A33" s="137"/>
      <c r="B33" s="137"/>
      <c r="C33" s="138"/>
      <c r="D33" s="138"/>
      <c r="E33" s="138"/>
      <c r="F33" s="137"/>
      <c r="G33" s="139"/>
      <c r="H33" s="143"/>
      <c r="I33" s="143"/>
      <c r="J33" s="137"/>
      <c r="K33" s="137"/>
    </row>
    <row r="34" spans="1:11" ht="15.75">
      <c r="A34" s="146" t="s">
        <v>38</v>
      </c>
      <c r="B34" s="149">
        <f>SUM(B31:B32)</f>
        <v>9000</v>
      </c>
      <c r="C34" s="152"/>
      <c r="D34" s="152"/>
      <c r="E34" s="147">
        <f>SUM(E31:E32)</f>
        <v>0</v>
      </c>
      <c r="F34" s="149">
        <f>SUM(F31:F32)</f>
        <v>0</v>
      </c>
      <c r="G34" s="139"/>
      <c r="H34" s="143"/>
      <c r="I34" s="143"/>
      <c r="J34" s="137"/>
      <c r="K34" s="137"/>
    </row>
    <row r="35" spans="1:11" ht="7.5" customHeight="1">
      <c r="A35" s="137"/>
      <c r="B35" s="137"/>
      <c r="C35" s="138"/>
      <c r="D35" s="138"/>
      <c r="E35" s="138"/>
      <c r="F35" s="137"/>
      <c r="G35" s="139"/>
      <c r="H35" s="143"/>
      <c r="I35" s="143"/>
      <c r="J35" s="137"/>
      <c r="K35" s="137"/>
    </row>
    <row r="36" spans="1:11" ht="15.75">
      <c r="A36" s="137" t="s">
        <v>39</v>
      </c>
      <c r="B36" s="140">
        <v>26000</v>
      </c>
      <c r="C36" s="141">
        <v>12</v>
      </c>
      <c r="D36" s="138"/>
      <c r="E36" s="138"/>
      <c r="F36" s="142">
        <f>IF(Kalkulator!$F$25="R",0,IF(Kalkulator!$G$25=1,SK!B36*SK!C36/12,Kalkulator!$E$25*B36*C36/12))</f>
        <v>312000</v>
      </c>
      <c r="G36" s="139"/>
      <c r="H36" s="143"/>
      <c r="I36" s="143"/>
      <c r="J36" s="137"/>
      <c r="K36" s="137"/>
    </row>
    <row r="37" spans="1:11" ht="15.75">
      <c r="A37" s="137" t="s">
        <v>79</v>
      </c>
      <c r="B37" s="140">
        <v>4000</v>
      </c>
      <c r="C37" s="141">
        <v>12</v>
      </c>
      <c r="D37" s="138"/>
      <c r="E37" s="138"/>
      <c r="F37" s="142">
        <f>IF(Kalkulator!$F$25="R",0,IF(Kalkulator!$G$25=1,SK!B37*SK!C37/12,Kalkulator!$E$25*B37*C37/12))</f>
        <v>48000</v>
      </c>
      <c r="G37" s="139"/>
      <c r="H37" s="143"/>
      <c r="I37" s="143"/>
      <c r="J37" s="137"/>
      <c r="K37" s="137"/>
    </row>
    <row r="38" spans="1:11" ht="7.5" customHeight="1">
      <c r="A38" s="137"/>
      <c r="B38" s="140"/>
      <c r="C38" s="141"/>
      <c r="D38" s="138"/>
      <c r="E38" s="138"/>
      <c r="F38" s="137"/>
      <c r="G38" s="139"/>
      <c r="H38" s="143"/>
      <c r="I38" s="143"/>
      <c r="J38" s="137"/>
      <c r="K38" s="137"/>
    </row>
    <row r="39" spans="1:11" ht="15.75">
      <c r="A39" s="146" t="s">
        <v>40</v>
      </c>
      <c r="B39" s="147">
        <f>SUM(B36:B37)</f>
        <v>30000</v>
      </c>
      <c r="C39" s="148"/>
      <c r="D39" s="152"/>
      <c r="E39" s="147">
        <f>SUM(E36:E36)</f>
        <v>0</v>
      </c>
      <c r="F39" s="149">
        <f>SUM(F36:F37)</f>
        <v>360000</v>
      </c>
      <c r="G39" s="139"/>
      <c r="H39" s="143"/>
      <c r="I39" s="143"/>
      <c r="J39" s="137"/>
      <c r="K39" s="137"/>
    </row>
    <row r="40" spans="1:11" ht="7.5" customHeight="1">
      <c r="A40" s="137"/>
      <c r="B40" s="140"/>
      <c r="C40" s="141"/>
      <c r="D40" s="138"/>
      <c r="E40" s="138"/>
      <c r="F40" s="137"/>
      <c r="G40" s="139"/>
      <c r="H40" s="143"/>
      <c r="I40" s="143"/>
      <c r="J40" s="137"/>
      <c r="K40" s="137"/>
    </row>
    <row r="41" spans="1:11" ht="15.75" customHeight="1">
      <c r="A41" s="137" t="s">
        <v>109</v>
      </c>
      <c r="B41" s="140">
        <v>30000</v>
      </c>
      <c r="C41" s="141">
        <f>Kalkulator!H27</f>
        <v>12</v>
      </c>
      <c r="D41" s="138"/>
      <c r="E41" s="138"/>
      <c r="F41" s="139">
        <f>IF(Kalkulator!F27="R",0,IF(Kalkulator!G27=1,SK!B41*SK!C41/12,Kalkulator!$E$27*B41*C41/12))</f>
        <v>0</v>
      </c>
      <c r="G41" s="139"/>
      <c r="H41" s="143"/>
      <c r="I41" s="143"/>
      <c r="J41" s="137"/>
      <c r="K41" s="137"/>
    </row>
    <row r="42" spans="1:11" ht="7.5" customHeight="1">
      <c r="A42" s="137"/>
      <c r="B42" s="140"/>
      <c r="C42" s="141"/>
      <c r="D42" s="138"/>
      <c r="E42" s="138"/>
      <c r="F42" s="137"/>
      <c r="G42" s="139"/>
      <c r="H42" s="143"/>
      <c r="I42" s="143"/>
      <c r="J42" s="137"/>
      <c r="K42" s="137"/>
    </row>
    <row r="43" spans="1:11" ht="15.75">
      <c r="A43" s="146" t="s">
        <v>109</v>
      </c>
      <c r="B43" s="147">
        <v>30000</v>
      </c>
      <c r="C43" s="148"/>
      <c r="D43" s="152"/>
      <c r="E43" s="152"/>
      <c r="F43" s="153">
        <f>SUM(F41:F41)</f>
        <v>0</v>
      </c>
      <c r="G43" s="139"/>
      <c r="H43" s="143"/>
      <c r="I43" s="143"/>
      <c r="J43" s="137"/>
      <c r="K43" s="137"/>
    </row>
    <row r="44" spans="1:11" ht="7.5" customHeight="1">
      <c r="A44" s="137"/>
      <c r="B44" s="140"/>
      <c r="C44" s="141"/>
      <c r="D44" s="138"/>
      <c r="E44" s="138"/>
      <c r="F44" s="137"/>
      <c r="G44" s="139"/>
      <c r="H44" s="143"/>
      <c r="I44" s="143"/>
      <c r="J44" s="137"/>
      <c r="K44" s="137"/>
    </row>
    <row r="45" spans="1:11" s="4" customFormat="1" ht="15.75">
      <c r="A45" s="154" t="s">
        <v>58</v>
      </c>
      <c r="B45" s="154"/>
      <c r="C45" s="155"/>
      <c r="D45" s="155"/>
      <c r="E45" s="156"/>
      <c r="F45" s="157">
        <f>F28+F34+F39+F43</f>
        <v>840000</v>
      </c>
      <c r="G45" s="158"/>
      <c r="H45" s="159"/>
      <c r="I45" s="159"/>
      <c r="J45" s="160"/>
      <c r="K45" s="160"/>
    </row>
    <row r="46" spans="1:11" ht="7.5" customHeight="1">
      <c r="A46" s="151"/>
      <c r="B46" s="151"/>
      <c r="C46" s="150"/>
      <c r="D46" s="150"/>
      <c r="E46" s="161"/>
      <c r="F46" s="142"/>
      <c r="G46" s="139"/>
      <c r="H46" s="143"/>
      <c r="I46" s="143"/>
      <c r="J46" s="137"/>
      <c r="K46" s="137"/>
    </row>
    <row r="47" spans="1:11" ht="15.75">
      <c r="A47" s="146" t="s">
        <v>64</v>
      </c>
      <c r="B47" s="151"/>
      <c r="C47" s="150"/>
      <c r="D47" s="150"/>
      <c r="E47" s="147">
        <f>E28+E34+E39</f>
        <v>0</v>
      </c>
      <c r="F47" s="142"/>
      <c r="G47" s="139"/>
      <c r="H47" s="143"/>
      <c r="I47" s="143"/>
      <c r="J47" s="137"/>
      <c r="K47" s="137"/>
    </row>
    <row r="48" spans="1:11" ht="15.75">
      <c r="A48" s="146" t="s">
        <v>57</v>
      </c>
      <c r="B48" s="151"/>
      <c r="C48" s="150"/>
      <c r="D48" s="150"/>
      <c r="E48" s="147">
        <f>IF(E47&lt;=F45,E47,F45)</f>
        <v>0</v>
      </c>
      <c r="F48" s="142"/>
      <c r="G48" s="139"/>
      <c r="H48" s="143"/>
      <c r="I48" s="143"/>
      <c r="J48" s="137"/>
      <c r="K48" s="137"/>
    </row>
    <row r="49" spans="1:11" ht="7.5" customHeight="1" thickBot="1">
      <c r="A49" s="151"/>
      <c r="B49" s="151"/>
      <c r="C49" s="150"/>
      <c r="D49" s="150"/>
      <c r="E49" s="161"/>
      <c r="F49" s="142"/>
      <c r="G49" s="139"/>
      <c r="H49" s="143"/>
      <c r="I49" s="143"/>
      <c r="J49" s="137"/>
      <c r="K49" s="137"/>
    </row>
    <row r="50" spans="1:11" s="4" customFormat="1" ht="16.5" thickBot="1">
      <c r="A50" s="162" t="s">
        <v>119</v>
      </c>
      <c r="B50" s="163"/>
      <c r="C50" s="164"/>
      <c r="D50" s="164"/>
      <c r="E50" s="165"/>
      <c r="F50" s="166">
        <f>F45-E48</f>
        <v>840000</v>
      </c>
      <c r="G50" s="158"/>
      <c r="H50" s="159"/>
      <c r="I50" s="159"/>
      <c r="J50" s="160"/>
      <c r="K50" s="160"/>
    </row>
    <row r="51" spans="1:11" ht="15.75">
      <c r="A51" s="137"/>
      <c r="B51" s="137"/>
      <c r="C51" s="138"/>
      <c r="D51" s="138"/>
      <c r="E51" s="138"/>
      <c r="F51" s="137"/>
      <c r="G51" s="139"/>
      <c r="H51" s="137"/>
      <c r="I51" s="137"/>
      <c r="J51" s="137"/>
      <c r="K51" s="137"/>
    </row>
    <row r="52" spans="1:11" ht="15.75">
      <c r="A52" s="137" t="s">
        <v>41</v>
      </c>
      <c r="B52" s="137"/>
      <c r="C52" s="138"/>
      <c r="D52" s="138"/>
      <c r="E52" s="138"/>
      <c r="F52" s="137"/>
      <c r="G52" s="139"/>
      <c r="H52" s="137"/>
      <c r="I52" s="137"/>
      <c r="J52" s="137"/>
      <c r="K52" s="137"/>
    </row>
  </sheetData>
  <sheetProtection password="E1F6" sheet="1" objects="1" scenarios="1"/>
  <mergeCells count="9">
    <mergeCell ref="D2:E2"/>
    <mergeCell ref="B1:E1"/>
    <mergeCell ref="F1:F3"/>
    <mergeCell ref="I7:K7"/>
    <mergeCell ref="J20:K20"/>
    <mergeCell ref="I2:K2"/>
    <mergeCell ref="I4:I5"/>
    <mergeCell ref="J4:J5"/>
    <mergeCell ref="K4:K5"/>
  </mergeCells>
  <printOptions/>
  <pageMargins left="0.7874015748031497" right="0.7874015748031497" top="0.74" bottom="0.52" header="0.5118110236220472" footer="0.5118110236220472"/>
  <pageSetup fitToHeight="1" fitToWidth="1" horizontalDpi="600" verticalDpi="600" orientation="landscape" paperSize="9" scale="72" r:id="rId1"/>
  <headerFooter alignWithMargins="0">
    <oddHeader>&amp;C&amp;"Arial Black,Normal"&amp;12Bilag 1 (Side 2) - Beregning av årskostnad 2010 - Data fra Statens kartverk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41.28125" style="5" customWidth="1"/>
    <col min="2" max="2" width="15.421875" style="7" bestFit="1" customWidth="1"/>
    <col min="3" max="3" width="14.8515625" style="5" customWidth="1"/>
    <col min="4" max="4" width="14.8515625" style="5" hidden="1" customWidth="1"/>
    <col min="5" max="5" width="14.140625" style="5" bestFit="1" customWidth="1"/>
    <col min="6" max="6" width="15.8515625" style="5" customWidth="1"/>
    <col min="7" max="7" width="20.7109375" style="7" customWidth="1"/>
    <col min="8" max="8" width="15.8515625" style="7" customWidth="1"/>
    <col min="9" max="9" width="11.421875" style="8" customWidth="1"/>
    <col min="10" max="16384" width="11.421875" style="5" customWidth="1"/>
  </cols>
  <sheetData>
    <row r="1" ht="15.75"/>
    <row r="2" spans="1:8" ht="16.5" thickBot="1">
      <c r="A2" s="160"/>
      <c r="B2" s="139"/>
      <c r="C2" s="137"/>
      <c r="D2" s="137"/>
      <c r="E2" s="137"/>
      <c r="F2" s="137"/>
      <c r="G2" s="139"/>
      <c r="H2" s="139"/>
    </row>
    <row r="3" spans="1:8" ht="15.75">
      <c r="A3" s="195" t="s">
        <v>129</v>
      </c>
      <c r="B3" s="196"/>
      <c r="C3" s="197"/>
      <c r="D3" s="197"/>
      <c r="E3" s="198">
        <f>Kalkulator!E14</f>
        <v>16</v>
      </c>
      <c r="F3" s="299" t="s">
        <v>130</v>
      </c>
      <c r="G3" s="300"/>
      <c r="H3" s="199"/>
    </row>
    <row r="4" spans="1:9" s="10" customFormat="1" ht="63.75" thickBot="1">
      <c r="A4" s="200"/>
      <c r="B4" s="201" t="s">
        <v>53</v>
      </c>
      <c r="C4" s="202" t="s">
        <v>54</v>
      </c>
      <c r="D4" s="202" t="s">
        <v>76</v>
      </c>
      <c r="E4" s="202" t="s">
        <v>131</v>
      </c>
      <c r="F4" s="203" t="s">
        <v>69</v>
      </c>
      <c r="G4" s="204" t="s">
        <v>67</v>
      </c>
      <c r="H4" s="205" t="s">
        <v>55</v>
      </c>
      <c r="I4" s="9"/>
    </row>
    <row r="5" spans="1:8" ht="15.75">
      <c r="A5" s="206" t="s">
        <v>47</v>
      </c>
      <c r="B5" s="207"/>
      <c r="C5" s="208">
        <v>0</v>
      </c>
      <c r="D5" s="208">
        <f aca="true" t="shared" si="0" ref="D5:D10">B5*C5/12</f>
        <v>0</v>
      </c>
      <c r="E5" s="208">
        <f>IF(Kalkulator!$F$14="R",0,IF(Kalkulator!$G$14=1,B5*C5/12,Kalkulator!$E$14*'Andre kommuner'!B5*'Andre kommuner'!C5/12))</f>
        <v>0</v>
      </c>
      <c r="F5" s="209"/>
      <c r="G5" s="210">
        <f aca="true" t="shared" si="1" ref="G5:G10">IF(F5="A",E5,0)</f>
        <v>0</v>
      </c>
      <c r="H5" s="211">
        <f aca="true" t="shared" si="2" ref="H5:H10">E5-G5</f>
        <v>0</v>
      </c>
    </row>
    <row r="6" spans="1:8" ht="15.75">
      <c r="A6" s="212" t="s">
        <v>48</v>
      </c>
      <c r="B6" s="213">
        <v>4410</v>
      </c>
      <c r="C6" s="214">
        <v>12</v>
      </c>
      <c r="D6" s="214">
        <f t="shared" si="0"/>
        <v>4410</v>
      </c>
      <c r="E6" s="214">
        <f>IF(Kalkulator!$F$14="R",0,IF(Kalkulator!$G$14=1,B6*C6/12,Kalkulator!$E$14*'Andre kommuner'!B6*'Andre kommuner'!C6/12))</f>
        <v>70560</v>
      </c>
      <c r="F6" s="215"/>
      <c r="G6" s="216">
        <f t="shared" si="1"/>
        <v>0</v>
      </c>
      <c r="H6" s="217">
        <f t="shared" si="2"/>
        <v>70560</v>
      </c>
    </row>
    <row r="7" spans="1:8" ht="15.75">
      <c r="A7" s="212" t="s">
        <v>49</v>
      </c>
      <c r="B7" s="213">
        <v>3260</v>
      </c>
      <c r="C7" s="214">
        <v>12</v>
      </c>
      <c r="D7" s="214">
        <f t="shared" si="0"/>
        <v>3260</v>
      </c>
      <c r="E7" s="214">
        <f>IF(Kalkulator!$F$14="R",0,IF(Kalkulator!$G$14=1,B7*C7/12,Kalkulator!$E$14*'Andre kommuner'!B7*'Andre kommuner'!C7/12))</f>
        <v>52160</v>
      </c>
      <c r="F7" s="215"/>
      <c r="G7" s="216">
        <f t="shared" si="1"/>
        <v>0</v>
      </c>
      <c r="H7" s="217">
        <f t="shared" si="2"/>
        <v>52160</v>
      </c>
    </row>
    <row r="8" spans="1:8" ht="15.75">
      <c r="A8" s="212" t="s">
        <v>50</v>
      </c>
      <c r="B8" s="213">
        <v>4260</v>
      </c>
      <c r="C8" s="214">
        <v>12</v>
      </c>
      <c r="D8" s="214">
        <f t="shared" si="0"/>
        <v>4260</v>
      </c>
      <c r="E8" s="214">
        <f>IF(Kalkulator!$F$14="R",0,IF(Kalkulator!$G$14=1,B8*C8/12,Kalkulator!$E$14*'Andre kommuner'!B8*'Andre kommuner'!C8/12))</f>
        <v>68160</v>
      </c>
      <c r="F8" s="215"/>
      <c r="G8" s="216">
        <f t="shared" si="1"/>
        <v>0</v>
      </c>
      <c r="H8" s="217">
        <f t="shared" si="2"/>
        <v>68160</v>
      </c>
    </row>
    <row r="9" spans="1:8" ht="15.75">
      <c r="A9" s="212" t="s">
        <v>51</v>
      </c>
      <c r="B9" s="213"/>
      <c r="C9" s="214">
        <v>12</v>
      </c>
      <c r="D9" s="214">
        <f t="shared" si="0"/>
        <v>0</v>
      </c>
      <c r="E9" s="214">
        <f>IF(Kalkulator!$F$14="R",0,IF(Kalkulator!$G$14=1,B9*C9/12,Kalkulator!$E$14*'Andre kommuner'!B9*'Andre kommuner'!C9/12))</f>
        <v>0</v>
      </c>
      <c r="F9" s="215"/>
      <c r="G9" s="216">
        <f t="shared" si="1"/>
        <v>0</v>
      </c>
      <c r="H9" s="217">
        <f t="shared" si="2"/>
        <v>0</v>
      </c>
    </row>
    <row r="10" spans="1:8" ht="16.5" thickBot="1">
      <c r="A10" s="230" t="s">
        <v>52</v>
      </c>
      <c r="B10" s="231">
        <v>8210</v>
      </c>
      <c r="C10" s="232">
        <v>12</v>
      </c>
      <c r="D10" s="232">
        <f t="shared" si="0"/>
        <v>8210</v>
      </c>
      <c r="E10" s="232">
        <f>IF(Kalkulator!$F$14="R",0,IF(Kalkulator!$G$14=1,B10*C10/12,Kalkulator!$E$14*'Andre kommuner'!B10*'Andre kommuner'!C10/12))</f>
        <v>131360</v>
      </c>
      <c r="F10" s="233"/>
      <c r="G10" s="234">
        <f t="shared" si="1"/>
        <v>0</v>
      </c>
      <c r="H10" s="235">
        <f t="shared" si="2"/>
        <v>131360</v>
      </c>
    </row>
    <row r="11" spans="1:8" ht="15.75">
      <c r="A11" s="225"/>
      <c r="B11" s="219"/>
      <c r="C11" s="220"/>
      <c r="D11" s="220"/>
      <c r="E11" s="220"/>
      <c r="F11" s="220"/>
      <c r="G11" s="220"/>
      <c r="H11" s="236"/>
    </row>
    <row r="12" spans="1:8" ht="15.75">
      <c r="A12" s="221" t="s">
        <v>68</v>
      </c>
      <c r="B12" s="219">
        <f>SUM(B6:B10)</f>
        <v>20140</v>
      </c>
      <c r="C12" s="220"/>
      <c r="D12" s="220"/>
      <c r="E12" s="222">
        <f>SUM(E5:E10)</f>
        <v>322240</v>
      </c>
      <c r="F12" s="223"/>
      <c r="G12" s="219"/>
      <c r="H12" s="237"/>
    </row>
    <row r="13" spans="1:8" ht="15.75">
      <c r="A13" s="238" t="s">
        <v>65</v>
      </c>
      <c r="B13" s="219"/>
      <c r="C13" s="218"/>
      <c r="D13" s="218"/>
      <c r="E13" s="218"/>
      <c r="F13" s="218"/>
      <c r="G13" s="224">
        <f>SUM(G5:G10)</f>
        <v>0</v>
      </c>
      <c r="H13" s="237"/>
    </row>
    <row r="14" spans="1:8" ht="16.5" thickBot="1">
      <c r="A14" s="225"/>
      <c r="B14" s="219"/>
      <c r="C14" s="218"/>
      <c r="D14" s="218"/>
      <c r="E14" s="218"/>
      <c r="F14" s="218"/>
      <c r="G14" s="219"/>
      <c r="H14" s="237"/>
    </row>
    <row r="15" spans="1:9" s="6" customFormat="1" ht="16.5" thickBot="1">
      <c r="A15" s="226" t="s">
        <v>66</v>
      </c>
      <c r="B15" s="227"/>
      <c r="C15" s="228"/>
      <c r="D15" s="228"/>
      <c r="E15" s="228"/>
      <c r="F15" s="228"/>
      <c r="G15" s="228"/>
      <c r="H15" s="229">
        <f>SUM(H5:H10)</f>
        <v>322240</v>
      </c>
      <c r="I15" s="11"/>
    </row>
    <row r="16" spans="1:8" ht="15.75">
      <c r="A16" s="137"/>
      <c r="B16" s="139"/>
      <c r="C16" s="137"/>
      <c r="D16" s="137"/>
      <c r="E16" s="137"/>
      <c r="F16" s="137"/>
      <c r="G16" s="139"/>
      <c r="H16" s="139"/>
    </row>
    <row r="17" spans="1:9" ht="15.75">
      <c r="A17" s="8"/>
      <c r="B17" s="5"/>
      <c r="G17" s="5"/>
      <c r="H17" s="5"/>
      <c r="I17" s="5"/>
    </row>
    <row r="18" s="13" customFormat="1" ht="15.75">
      <c r="A18" s="12"/>
    </row>
    <row r="19" spans="1:9" ht="15.75">
      <c r="A19" s="8"/>
      <c r="B19" s="5"/>
      <c r="G19" s="5"/>
      <c r="H19" s="5"/>
      <c r="I19" s="5"/>
    </row>
    <row r="20" spans="1:9" ht="15.75">
      <c r="A20" s="8"/>
      <c r="B20" s="5"/>
      <c r="G20" s="5"/>
      <c r="H20" s="5"/>
      <c r="I20" s="5"/>
    </row>
    <row r="21" spans="1:9" ht="15.75">
      <c r="A21" s="8"/>
      <c r="B21" s="5"/>
      <c r="G21" s="5"/>
      <c r="H21" s="5"/>
      <c r="I21" s="5"/>
    </row>
    <row r="22" spans="1:9" ht="15.75">
      <c r="A22" s="8"/>
      <c r="B22" s="5"/>
      <c r="G22" s="5"/>
      <c r="H22" s="5"/>
      <c r="I22" s="5"/>
    </row>
    <row r="23" spans="1:9" ht="15.75">
      <c r="A23" s="8"/>
      <c r="B23" s="5"/>
      <c r="G23" s="5"/>
      <c r="H23" s="5"/>
      <c r="I23" s="5"/>
    </row>
    <row r="24" spans="1:9" ht="15.75">
      <c r="A24" s="8"/>
      <c r="B24" s="5"/>
      <c r="G24" s="5"/>
      <c r="H24" s="5"/>
      <c r="I24" s="5"/>
    </row>
    <row r="25" spans="1:9" ht="15.75">
      <c r="A25" s="8"/>
      <c r="B25" s="5"/>
      <c r="G25" s="5"/>
      <c r="H25" s="5"/>
      <c r="I25" s="5"/>
    </row>
    <row r="26" spans="1:9" ht="15.75">
      <c r="A26" s="8"/>
      <c r="B26" s="5"/>
      <c r="G26" s="5"/>
      <c r="H26" s="5"/>
      <c r="I26" s="5"/>
    </row>
    <row r="27" spans="1:9" ht="15.75">
      <c r="A27" s="8"/>
      <c r="B27" s="5"/>
      <c r="G27" s="5"/>
      <c r="H27" s="5"/>
      <c r="I27" s="5"/>
    </row>
    <row r="28" spans="1:9" ht="15.75">
      <c r="A28" s="8"/>
      <c r="B28" s="5"/>
      <c r="G28" s="5"/>
      <c r="H28" s="5"/>
      <c r="I28" s="5"/>
    </row>
    <row r="29" ht="15.75">
      <c r="E29" s="14"/>
    </row>
  </sheetData>
  <sheetProtection/>
  <mergeCells count="1">
    <mergeCell ref="F3:G3"/>
  </mergeCells>
  <printOptions/>
  <pageMargins left="0.787401575" right="0.35" top="0.984251969" bottom="0.984251969" header="0.5" footer="0.5"/>
  <pageSetup fitToHeight="1" fitToWidth="1" horizontalDpi="600" verticalDpi="600" orientation="landscape" paperSize="9" scale="99" r:id="rId3"/>
  <headerFooter alignWithMargins="0">
    <oddHeader>&amp;C&amp;"Arial Narrow,Halvfet"&amp;12Bilag 1 (Side 3) - Beregning av årskostnad 2010 - Data fra kommuner som ikke deltar i Geovekst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PageLayoutView="0" workbookViewId="0" topLeftCell="A1">
      <selection activeCell="H32" sqref="H32"/>
    </sheetView>
  </sheetViews>
  <sheetFormatPr defaultColWidth="11.421875" defaultRowHeight="12.75"/>
  <cols>
    <col min="1" max="1" width="23.140625" style="79" customWidth="1"/>
    <col min="2" max="3" width="3.00390625" style="79" bestFit="1" customWidth="1"/>
    <col min="4" max="4" width="5.140625" style="79" customWidth="1"/>
    <col min="5" max="16384" width="11.421875" style="79" customWidth="1"/>
  </cols>
  <sheetData>
    <row r="1" spans="5:7" ht="12.75">
      <c r="E1" s="169" t="s">
        <v>80</v>
      </c>
      <c r="F1" s="169"/>
      <c r="G1" s="169"/>
    </row>
    <row r="2" spans="1:7" ht="12.75">
      <c r="A2" s="79" t="s">
        <v>81</v>
      </c>
      <c r="E2" s="79" t="s">
        <v>82</v>
      </c>
      <c r="F2" s="79" t="s">
        <v>83</v>
      </c>
      <c r="G2" s="79" t="s">
        <v>84</v>
      </c>
    </row>
    <row r="3" spans="1:7" ht="76.5">
      <c r="A3" s="79" t="s">
        <v>85</v>
      </c>
      <c r="E3" s="170" t="s">
        <v>86</v>
      </c>
      <c r="F3" s="170" t="s">
        <v>87</v>
      </c>
      <c r="G3" s="170" t="s">
        <v>88</v>
      </c>
    </row>
    <row r="4" spans="1:7" ht="12.75">
      <c r="A4" s="79" t="s">
        <v>103</v>
      </c>
      <c r="E4" s="171">
        <v>4000</v>
      </c>
      <c r="F4" s="171"/>
      <c r="G4" s="171"/>
    </row>
    <row r="5" spans="1:7" ht="12.75">
      <c r="A5" s="79" t="s">
        <v>89</v>
      </c>
      <c r="E5" s="171"/>
      <c r="F5" s="171">
        <v>1000</v>
      </c>
      <c r="G5" s="171">
        <v>2500</v>
      </c>
    </row>
    <row r="6" spans="5:7" ht="12.75">
      <c r="E6" s="171"/>
      <c r="F6" s="171"/>
      <c r="G6" s="171"/>
    </row>
    <row r="7" spans="1:7" ht="12.75">
      <c r="A7" s="169">
        <v>1</v>
      </c>
      <c r="B7" s="169"/>
      <c r="C7" s="169"/>
      <c r="D7" s="169"/>
      <c r="E7" s="171"/>
      <c r="F7" s="171">
        <v>5000</v>
      </c>
      <c r="G7" s="171">
        <f>E4+G5</f>
        <v>6500</v>
      </c>
    </row>
    <row r="8" spans="1:7" ht="12.75">
      <c r="A8" s="169">
        <v>2</v>
      </c>
      <c r="B8" s="169"/>
      <c r="C8" s="169"/>
      <c r="D8" s="169"/>
      <c r="E8" s="171"/>
      <c r="F8" s="171">
        <v>6000</v>
      </c>
      <c r="G8" s="171">
        <f>G7+$G$5</f>
        <v>9000</v>
      </c>
    </row>
    <row r="9" spans="1:7" ht="12.75">
      <c r="A9" s="169">
        <v>3</v>
      </c>
      <c r="B9" s="169"/>
      <c r="C9" s="169"/>
      <c r="D9" s="169"/>
      <c r="E9" s="171"/>
      <c r="F9" s="171">
        <v>7000</v>
      </c>
      <c r="G9" s="171">
        <f aca="true" t="shared" si="0" ref="G9:G16">G8+$G$5</f>
        <v>11500</v>
      </c>
    </row>
    <row r="10" spans="1:7" ht="12.75">
      <c r="A10" s="169">
        <v>4</v>
      </c>
      <c r="B10" s="169"/>
      <c r="C10" s="169"/>
      <c r="D10" s="169"/>
      <c r="E10" s="171"/>
      <c r="F10" s="171">
        <v>8000</v>
      </c>
      <c r="G10" s="171">
        <f t="shared" si="0"/>
        <v>14000</v>
      </c>
    </row>
    <row r="11" spans="1:7" ht="12.75">
      <c r="A11" s="169">
        <v>5</v>
      </c>
      <c r="B11" s="169"/>
      <c r="C11" s="169"/>
      <c r="D11" s="169"/>
      <c r="E11" s="171"/>
      <c r="F11" s="171">
        <v>9000</v>
      </c>
      <c r="G11" s="171">
        <f t="shared" si="0"/>
        <v>16500</v>
      </c>
    </row>
    <row r="12" spans="1:7" ht="12.75">
      <c r="A12" s="169">
        <v>6</v>
      </c>
      <c r="B12" s="169"/>
      <c r="C12" s="169"/>
      <c r="D12" s="169"/>
      <c r="E12" s="171"/>
      <c r="F12" s="171">
        <v>10000</v>
      </c>
      <c r="G12" s="171">
        <f t="shared" si="0"/>
        <v>19000</v>
      </c>
    </row>
    <row r="13" spans="1:7" ht="12.75">
      <c r="A13" s="169">
        <v>7</v>
      </c>
      <c r="B13" s="169"/>
      <c r="C13" s="169"/>
      <c r="D13" s="169"/>
      <c r="E13" s="171"/>
      <c r="F13" s="171">
        <v>11000</v>
      </c>
      <c r="G13" s="171">
        <f t="shared" si="0"/>
        <v>21500</v>
      </c>
    </row>
    <row r="14" spans="1:7" ht="12.75">
      <c r="A14" s="169">
        <v>8</v>
      </c>
      <c r="B14" s="169"/>
      <c r="C14" s="169"/>
      <c r="D14" s="169"/>
      <c r="E14" s="171"/>
      <c r="F14" s="171">
        <v>12000</v>
      </c>
      <c r="G14" s="171">
        <f t="shared" si="0"/>
        <v>24000</v>
      </c>
    </row>
    <row r="15" spans="1:7" ht="12.75">
      <c r="A15" s="169">
        <v>9</v>
      </c>
      <c r="B15" s="169"/>
      <c r="C15" s="169"/>
      <c r="D15" s="169"/>
      <c r="E15" s="171"/>
      <c r="F15" s="171">
        <v>13000</v>
      </c>
      <c r="G15" s="171">
        <f t="shared" si="0"/>
        <v>26500</v>
      </c>
    </row>
    <row r="16" spans="1:7" ht="12.75">
      <c r="A16" s="169">
        <v>10</v>
      </c>
      <c r="B16" s="169"/>
      <c r="C16" s="169"/>
      <c r="D16" s="169"/>
      <c r="E16" s="171"/>
      <c r="F16" s="171">
        <v>14000</v>
      </c>
      <c r="G16" s="172">
        <f t="shared" si="0"/>
        <v>29000</v>
      </c>
    </row>
    <row r="17" spans="1:7" ht="12.75">
      <c r="A17" s="169"/>
      <c r="B17" s="169"/>
      <c r="C17" s="169"/>
      <c r="D17" s="169"/>
      <c r="E17" s="171"/>
      <c r="F17" s="171"/>
      <c r="G17" s="172"/>
    </row>
    <row r="18" spans="1:7" ht="12.75">
      <c r="A18" s="79" t="s">
        <v>108</v>
      </c>
      <c r="E18" s="173">
        <f>IF(Kalkulator!D28=1,E4,0)</f>
        <v>0</v>
      </c>
      <c r="F18" s="174">
        <f>IF(Kalkulator!D29=1,VLOOKUP(Kalkulator!H29,'Norges eiendommer'!A7:F16,6,TRUE),0)</f>
        <v>0</v>
      </c>
      <c r="G18" s="174">
        <f>IF(Kalkulator!D30=1,VLOOKUP(Kalkulator!H30,'Norges eiendommer'!A7:G16,7,TRUE),0)</f>
        <v>0</v>
      </c>
    </row>
    <row r="19" spans="1:7" ht="12.75">
      <c r="A19" s="79" t="s">
        <v>106</v>
      </c>
      <c r="E19" s="173">
        <f>IF(Kalkulator!D28=1,IF($C$21&gt;0,SUM($E$27:$E$39),0),0)</f>
        <v>0</v>
      </c>
      <c r="F19" s="173">
        <f>IF(Kalkulator!D29=1,IF($C$21&gt;0,SUM($E$27:$E$39),0),0)</f>
        <v>0</v>
      </c>
      <c r="G19" s="173">
        <f>IF(Kalkulator!D30=1,IF($C$21&gt;0,SUM($E$27:$E$39),0),0)</f>
        <v>0</v>
      </c>
    </row>
    <row r="20" spans="2:7" ht="12.75">
      <c r="B20" s="301" t="s">
        <v>107</v>
      </c>
      <c r="C20" s="301"/>
      <c r="D20" s="301"/>
      <c r="G20" s="169"/>
    </row>
    <row r="21" spans="1:4" ht="12.75">
      <c r="A21" s="175" t="s">
        <v>104</v>
      </c>
      <c r="B21" s="176">
        <v>1</v>
      </c>
      <c r="C21" s="176">
        <v>1</v>
      </c>
      <c r="D21" s="177">
        <v>2010</v>
      </c>
    </row>
    <row r="22" spans="1:4" ht="12.75">
      <c r="A22" s="175" t="s">
        <v>105</v>
      </c>
      <c r="B22" s="175">
        <v>31</v>
      </c>
      <c r="C22" s="175">
        <v>12</v>
      </c>
      <c r="D22" s="177">
        <v>2010</v>
      </c>
    </row>
    <row r="23" spans="1:7" ht="12.75">
      <c r="A23" s="178" t="s">
        <v>132</v>
      </c>
      <c r="B23" s="179"/>
      <c r="C23" s="179"/>
      <c r="D23" s="179"/>
      <c r="E23" s="180">
        <f>IF(E19&gt;0,E18*E19/365,0)</f>
        <v>0</v>
      </c>
      <c r="F23" s="180">
        <f>IF(F19&gt;0,F18*F19/365,0)</f>
        <v>0</v>
      </c>
      <c r="G23" s="181">
        <f>IF(G19&gt;0,G18*G19/365,0)</f>
        <v>0</v>
      </c>
    </row>
    <row r="25" spans="1:4" ht="25.5" customHeight="1">
      <c r="A25" s="173"/>
      <c r="B25" s="173"/>
      <c r="C25" s="173"/>
      <c r="D25" s="182" t="s">
        <v>90</v>
      </c>
    </row>
    <row r="26" spans="1:4" ht="12.75">
      <c r="A26" s="173"/>
      <c r="B26" s="173"/>
      <c r="C26" s="173"/>
      <c r="D26" s="183"/>
    </row>
    <row r="27" spans="1:5" ht="12.75">
      <c r="A27" s="173" t="s">
        <v>91</v>
      </c>
      <c r="B27" s="173"/>
      <c r="C27" s="173">
        <v>1</v>
      </c>
      <c r="D27" s="183">
        <v>31</v>
      </c>
      <c r="E27" s="79">
        <f>IF(E26&gt;0,D27,IF($C$21&gt;$C27,0,D27-$B$21))</f>
        <v>30</v>
      </c>
    </row>
    <row r="28" spans="1:5" ht="12.75">
      <c r="A28" s="173" t="s">
        <v>92</v>
      </c>
      <c r="B28" s="173"/>
      <c r="C28" s="173">
        <v>2</v>
      </c>
      <c r="D28" s="183">
        <v>28</v>
      </c>
      <c r="E28" s="79">
        <f>IF(E27&gt;0,D28,IF($C$21&gt;$C28,0,D28-$B$21))</f>
        <v>28</v>
      </c>
    </row>
    <row r="29" spans="1:5" ht="12.75">
      <c r="A29" s="173" t="s">
        <v>93</v>
      </c>
      <c r="B29" s="173"/>
      <c r="C29" s="173">
        <v>3</v>
      </c>
      <c r="D29" s="183">
        <v>31</v>
      </c>
      <c r="E29" s="79">
        <f>IF(E28&gt;0,D29,IF($C$21&gt;$C29,0,D29-$B$21))</f>
        <v>31</v>
      </c>
    </row>
    <row r="30" spans="1:5" ht="12.75">
      <c r="A30" s="173" t="s">
        <v>94</v>
      </c>
      <c r="B30" s="173"/>
      <c r="C30" s="173">
        <v>4</v>
      </c>
      <c r="D30" s="183">
        <v>30</v>
      </c>
      <c r="E30" s="79">
        <f aca="true" t="shared" si="1" ref="E30:E38">IF(E29&gt;0,D30,IF($C$21&gt;$C30,0,D30-$B$21))</f>
        <v>30</v>
      </c>
    </row>
    <row r="31" spans="1:5" ht="12.75">
      <c r="A31" s="173" t="s">
        <v>95</v>
      </c>
      <c r="B31" s="173"/>
      <c r="C31" s="173">
        <v>5</v>
      </c>
      <c r="D31" s="183">
        <v>31</v>
      </c>
      <c r="E31" s="79">
        <f t="shared" si="1"/>
        <v>31</v>
      </c>
    </row>
    <row r="32" spans="1:5" ht="12.75">
      <c r="A32" s="173" t="s">
        <v>96</v>
      </c>
      <c r="B32" s="173"/>
      <c r="C32" s="173">
        <v>6</v>
      </c>
      <c r="D32" s="183">
        <v>30</v>
      </c>
      <c r="E32" s="79">
        <f t="shared" si="1"/>
        <v>30</v>
      </c>
    </row>
    <row r="33" spans="1:5" ht="12.75">
      <c r="A33" s="173" t="s">
        <v>97</v>
      </c>
      <c r="B33" s="173"/>
      <c r="C33" s="173">
        <v>7</v>
      </c>
      <c r="D33" s="183">
        <v>31</v>
      </c>
      <c r="E33" s="79">
        <f t="shared" si="1"/>
        <v>31</v>
      </c>
    </row>
    <row r="34" spans="1:5" ht="12.75">
      <c r="A34" s="173" t="s">
        <v>98</v>
      </c>
      <c r="B34" s="173"/>
      <c r="C34" s="173">
        <v>8</v>
      </c>
      <c r="D34" s="183">
        <v>31</v>
      </c>
      <c r="E34" s="79">
        <f t="shared" si="1"/>
        <v>31</v>
      </c>
    </row>
    <row r="35" spans="1:5" ht="12.75">
      <c r="A35" s="173" t="s">
        <v>99</v>
      </c>
      <c r="B35" s="173"/>
      <c r="C35" s="173">
        <v>9</v>
      </c>
      <c r="D35" s="183">
        <v>30</v>
      </c>
      <c r="E35" s="79">
        <f t="shared" si="1"/>
        <v>30</v>
      </c>
    </row>
    <row r="36" spans="1:5" ht="12.75">
      <c r="A36" s="173" t="s">
        <v>100</v>
      </c>
      <c r="B36" s="173"/>
      <c r="C36" s="173">
        <v>10</v>
      </c>
      <c r="D36" s="183">
        <v>31</v>
      </c>
      <c r="E36" s="79">
        <f t="shared" si="1"/>
        <v>31</v>
      </c>
    </row>
    <row r="37" spans="1:5" ht="12.75">
      <c r="A37" s="173" t="s">
        <v>101</v>
      </c>
      <c r="B37" s="173"/>
      <c r="C37" s="173">
        <v>11</v>
      </c>
      <c r="D37" s="183">
        <v>30</v>
      </c>
      <c r="E37" s="79">
        <f t="shared" si="1"/>
        <v>30</v>
      </c>
    </row>
    <row r="38" spans="1:5" ht="12.75">
      <c r="A38" s="173" t="s">
        <v>102</v>
      </c>
      <c r="B38" s="173"/>
      <c r="C38" s="173">
        <v>12</v>
      </c>
      <c r="D38" s="183">
        <v>31</v>
      </c>
      <c r="E38" s="79">
        <f t="shared" si="1"/>
        <v>31</v>
      </c>
    </row>
    <row r="39" spans="1:5" ht="12.75">
      <c r="A39" s="173"/>
      <c r="B39" s="173"/>
      <c r="C39" s="173"/>
      <c r="D39" s="183"/>
      <c r="E39" s="79">
        <v>1</v>
      </c>
    </row>
    <row r="40" spans="1:4" ht="12.75">
      <c r="A40" s="173"/>
      <c r="B40" s="173"/>
      <c r="C40" s="173"/>
      <c r="D40" s="183">
        <f>SUM(D27:D39)</f>
        <v>365</v>
      </c>
    </row>
  </sheetData>
  <sheetProtection password="E1F6" sheet="1" objects="1" scenarios="1"/>
  <mergeCells count="1">
    <mergeCell ref="B20:D20"/>
  </mergeCells>
  <printOptions/>
  <pageMargins left="0.787401575" right="0.787401575" top="0.984251969" bottom="0.984251969" header="0.5" footer="0.5"/>
  <pageSetup horizontalDpi="525" verticalDpi="525" orientation="portrait" paperSize="9" r:id="rId1"/>
  <headerFooter alignWithMargins="0">
    <oddHeader>&amp;C&amp;"Calibri,Fet"&amp;11Bilag 1 (Side 4) - Beregning av årskostnad ved abonnement på Norges eiendommer i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PageLayoutView="0" workbookViewId="0" topLeftCell="A1">
      <selection activeCell="V13" sqref="V13"/>
    </sheetView>
  </sheetViews>
  <sheetFormatPr defaultColWidth="11.421875" defaultRowHeight="12.75"/>
  <cols>
    <col min="1" max="1" width="10.421875" style="137" customWidth="1"/>
    <col min="2" max="2" width="10.00390625" style="137" customWidth="1"/>
    <col min="3" max="3" width="8.00390625" style="137" bestFit="1" customWidth="1"/>
    <col min="4" max="15" width="5.57421875" style="137" customWidth="1"/>
    <col min="16" max="16" width="9.57421875" style="138" customWidth="1"/>
    <col min="17" max="17" width="12.421875" style="137" customWidth="1"/>
    <col min="18" max="28" width="6.7109375" style="137" bestFit="1" customWidth="1"/>
    <col min="29" max="29" width="7.7109375" style="137" bestFit="1" customWidth="1"/>
    <col min="30" max="16384" width="11.421875" style="137" customWidth="1"/>
  </cols>
  <sheetData>
    <row r="1" spans="1:3" ht="15.75">
      <c r="A1" s="304" t="s">
        <v>166</v>
      </c>
      <c r="B1" s="305"/>
      <c r="C1" s="306"/>
    </row>
    <row r="2" spans="1:3" ht="15.75">
      <c r="A2" s="240" t="s">
        <v>134</v>
      </c>
      <c r="B2" s="241" t="s">
        <v>135</v>
      </c>
      <c r="C2" s="242" t="s">
        <v>136</v>
      </c>
    </row>
    <row r="3" spans="1:3" ht="16.5" thickBot="1">
      <c r="A3" s="240">
        <v>2</v>
      </c>
      <c r="B3" s="243">
        <v>12000</v>
      </c>
      <c r="C3" s="244">
        <f>B3/12</f>
        <v>1000</v>
      </c>
    </row>
    <row r="4" spans="1:13" ht="16.5" thickBot="1">
      <c r="A4" s="240">
        <v>5</v>
      </c>
      <c r="B4" s="243">
        <v>8000</v>
      </c>
      <c r="C4" s="244">
        <f>B4/12</f>
        <v>666.6666666666666</v>
      </c>
      <c r="E4" s="302" t="s">
        <v>168</v>
      </c>
      <c r="F4" s="303"/>
      <c r="G4" s="303"/>
      <c r="H4" s="303"/>
      <c r="I4" s="268"/>
      <c r="J4" s="283">
        <v>0</v>
      </c>
      <c r="M4" s="272">
        <f>IF(J4&lt;&gt;O10,"Sjekk antall lisenser!!","")</f>
      </c>
    </row>
    <row r="5" spans="1:3" ht="16.5" thickBot="1">
      <c r="A5" s="245">
        <v>6</v>
      </c>
      <c r="B5" s="246">
        <v>6000</v>
      </c>
      <c r="C5" s="247">
        <f>B5/12</f>
        <v>500</v>
      </c>
    </row>
    <row r="6" ht="16.5" thickBot="1"/>
    <row r="7" spans="1:18" ht="15.75">
      <c r="A7" s="206"/>
      <c r="B7" s="248"/>
      <c r="C7" s="248"/>
      <c r="D7" s="249" t="s">
        <v>137</v>
      </c>
      <c r="E7" s="249" t="s">
        <v>138</v>
      </c>
      <c r="F7" s="249" t="s">
        <v>139</v>
      </c>
      <c r="G7" s="249" t="s">
        <v>140</v>
      </c>
      <c r="H7" s="249" t="s">
        <v>95</v>
      </c>
      <c r="I7" s="249" t="s">
        <v>141</v>
      </c>
      <c r="J7" s="249" t="s">
        <v>142</v>
      </c>
      <c r="K7" s="249" t="s">
        <v>143</v>
      </c>
      <c r="L7" s="249" t="s">
        <v>144</v>
      </c>
      <c r="M7" s="249" t="s">
        <v>145</v>
      </c>
      <c r="N7" s="249" t="s">
        <v>146</v>
      </c>
      <c r="O7" s="249" t="s">
        <v>147</v>
      </c>
      <c r="P7" s="249" t="s">
        <v>148</v>
      </c>
      <c r="Q7" s="250" t="s">
        <v>149</v>
      </c>
      <c r="R7" s="138"/>
    </row>
    <row r="8" spans="1:17" ht="15.75">
      <c r="A8" s="310" t="s">
        <v>171</v>
      </c>
      <c r="B8" s="311"/>
      <c r="C8" s="311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51"/>
      <c r="Q8" s="252">
        <f>SUM(Q11:Q13)</f>
        <v>0</v>
      </c>
    </row>
    <row r="9" spans="1:17" ht="15.75">
      <c r="A9" s="225"/>
      <c r="B9" s="218"/>
      <c r="C9" s="218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37"/>
    </row>
    <row r="10" spans="1:17" ht="15.75">
      <c r="A10" s="310" t="s">
        <v>150</v>
      </c>
      <c r="B10" s="311"/>
      <c r="C10" s="311"/>
      <c r="D10" s="251">
        <f>D8</f>
        <v>0</v>
      </c>
      <c r="E10" s="251">
        <f aca="true" t="shared" si="0" ref="E10:O10">D10+E8</f>
        <v>0</v>
      </c>
      <c r="F10" s="251">
        <f t="shared" si="0"/>
        <v>0</v>
      </c>
      <c r="G10" s="251">
        <f t="shared" si="0"/>
        <v>0</v>
      </c>
      <c r="H10" s="251">
        <f t="shared" si="0"/>
        <v>0</v>
      </c>
      <c r="I10" s="251">
        <f t="shared" si="0"/>
        <v>0</v>
      </c>
      <c r="J10" s="251">
        <f t="shared" si="0"/>
        <v>0</v>
      </c>
      <c r="K10" s="251">
        <f t="shared" si="0"/>
        <v>0</v>
      </c>
      <c r="L10" s="251">
        <f t="shared" si="0"/>
        <v>0</v>
      </c>
      <c r="M10" s="251">
        <f t="shared" si="0"/>
        <v>0</v>
      </c>
      <c r="N10" s="251">
        <f t="shared" si="0"/>
        <v>0</v>
      </c>
      <c r="O10" s="251">
        <f t="shared" si="0"/>
        <v>0</v>
      </c>
      <c r="P10" s="251"/>
      <c r="Q10" s="254"/>
    </row>
    <row r="11" spans="1:31" ht="15.75">
      <c r="A11" s="310" t="s">
        <v>151</v>
      </c>
      <c r="B11" s="311"/>
      <c r="C11" s="311"/>
      <c r="D11" s="251">
        <f aca="true" t="shared" si="1" ref="D11:O11">IF(D10&gt;$A$3,$A$3,D10)</f>
        <v>0</v>
      </c>
      <c r="E11" s="251">
        <f t="shared" si="1"/>
        <v>0</v>
      </c>
      <c r="F11" s="251">
        <f t="shared" si="1"/>
        <v>0</v>
      </c>
      <c r="G11" s="251">
        <f t="shared" si="1"/>
        <v>0</v>
      </c>
      <c r="H11" s="251">
        <f t="shared" si="1"/>
        <v>0</v>
      </c>
      <c r="I11" s="251">
        <f t="shared" si="1"/>
        <v>0</v>
      </c>
      <c r="J11" s="251">
        <f t="shared" si="1"/>
        <v>0</v>
      </c>
      <c r="K11" s="251">
        <f t="shared" si="1"/>
        <v>0</v>
      </c>
      <c r="L11" s="251">
        <f t="shared" si="1"/>
        <v>0</v>
      </c>
      <c r="M11" s="251">
        <f t="shared" si="1"/>
        <v>0</v>
      </c>
      <c r="N11" s="251">
        <f t="shared" si="1"/>
        <v>0</v>
      </c>
      <c r="O11" s="251">
        <f t="shared" si="1"/>
        <v>0</v>
      </c>
      <c r="P11" s="251">
        <f>SUM(D11:O11)</f>
        <v>0</v>
      </c>
      <c r="Q11" s="254">
        <f>P11*C3</f>
        <v>0</v>
      </c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</row>
    <row r="12" spans="1:32" ht="15.75">
      <c r="A12" s="310" t="s">
        <v>152</v>
      </c>
      <c r="B12" s="311"/>
      <c r="C12" s="311"/>
      <c r="D12" s="251">
        <f aca="true" t="shared" si="2" ref="D12:O12">IF(D10&lt;$A$3+1,0,IF(D10&gt;$A$4,$A$4-$A$3,D10-$A$3))</f>
        <v>0</v>
      </c>
      <c r="E12" s="251">
        <f t="shared" si="2"/>
        <v>0</v>
      </c>
      <c r="F12" s="251">
        <f t="shared" si="2"/>
        <v>0</v>
      </c>
      <c r="G12" s="251">
        <f t="shared" si="2"/>
        <v>0</v>
      </c>
      <c r="H12" s="251">
        <f t="shared" si="2"/>
        <v>0</v>
      </c>
      <c r="I12" s="251">
        <f t="shared" si="2"/>
        <v>0</v>
      </c>
      <c r="J12" s="251">
        <f t="shared" si="2"/>
        <v>0</v>
      </c>
      <c r="K12" s="251">
        <f t="shared" si="2"/>
        <v>0</v>
      </c>
      <c r="L12" s="251">
        <f t="shared" si="2"/>
        <v>0</v>
      </c>
      <c r="M12" s="251">
        <f t="shared" si="2"/>
        <v>0</v>
      </c>
      <c r="N12" s="251">
        <f t="shared" si="2"/>
        <v>0</v>
      </c>
      <c r="O12" s="251">
        <f t="shared" si="2"/>
        <v>0</v>
      </c>
      <c r="P12" s="251">
        <f>SUM(D12:O12)</f>
        <v>0</v>
      </c>
      <c r="Q12" s="254">
        <f>P12*C4</f>
        <v>0</v>
      </c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</row>
    <row r="13" spans="1:31" ht="16.5" thickBot="1">
      <c r="A13" s="312" t="s">
        <v>153</v>
      </c>
      <c r="B13" s="313"/>
      <c r="C13" s="313"/>
      <c r="D13" s="255">
        <f aca="true" t="shared" si="3" ref="D13:O13">IF(D10&gt;$A$4,D10-$A$4,0)</f>
        <v>0</v>
      </c>
      <c r="E13" s="255">
        <f t="shared" si="3"/>
        <v>0</v>
      </c>
      <c r="F13" s="255">
        <f t="shared" si="3"/>
        <v>0</v>
      </c>
      <c r="G13" s="255">
        <f t="shared" si="3"/>
        <v>0</v>
      </c>
      <c r="H13" s="255">
        <f t="shared" si="3"/>
        <v>0</v>
      </c>
      <c r="I13" s="255">
        <f t="shared" si="3"/>
        <v>0</v>
      </c>
      <c r="J13" s="255">
        <f t="shared" si="3"/>
        <v>0</v>
      </c>
      <c r="K13" s="255">
        <f t="shared" si="3"/>
        <v>0</v>
      </c>
      <c r="L13" s="255">
        <f t="shared" si="3"/>
        <v>0</v>
      </c>
      <c r="M13" s="255">
        <f t="shared" si="3"/>
        <v>0</v>
      </c>
      <c r="N13" s="255">
        <f t="shared" si="3"/>
        <v>0</v>
      </c>
      <c r="O13" s="255">
        <f t="shared" si="3"/>
        <v>0</v>
      </c>
      <c r="P13" s="255">
        <f>SUM(D13:O13)</f>
        <v>0</v>
      </c>
      <c r="Q13" s="256">
        <f>P13*C5</f>
        <v>0</v>
      </c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</row>
    <row r="14" spans="15:29" ht="15.75">
      <c r="O14" s="145"/>
      <c r="AC14" s="145"/>
    </row>
    <row r="15" ht="16.5" thickBot="1"/>
    <row r="16" spans="1:3" ht="15.75">
      <c r="A16" s="307" t="s">
        <v>167</v>
      </c>
      <c r="B16" s="308"/>
      <c r="C16" s="309"/>
    </row>
    <row r="17" spans="1:3" ht="15.75">
      <c r="A17" s="257" t="s">
        <v>134</v>
      </c>
      <c r="B17" s="258" t="s">
        <v>135</v>
      </c>
      <c r="C17" s="259" t="s">
        <v>136</v>
      </c>
    </row>
    <row r="18" spans="1:3" ht="16.5" thickBot="1">
      <c r="A18" s="257">
        <v>2</v>
      </c>
      <c r="B18" s="260">
        <v>8000</v>
      </c>
      <c r="C18" s="261">
        <f>B18/12</f>
        <v>666.6666666666666</v>
      </c>
    </row>
    <row r="19" spans="1:13" ht="16.5" thickBot="1">
      <c r="A19" s="257">
        <v>5</v>
      </c>
      <c r="B19" s="260">
        <v>6000</v>
      </c>
      <c r="C19" s="261">
        <f>B19/12</f>
        <v>500</v>
      </c>
      <c r="E19" s="302" t="s">
        <v>169</v>
      </c>
      <c r="F19" s="303"/>
      <c r="G19" s="303"/>
      <c r="H19" s="303"/>
      <c r="I19" s="268"/>
      <c r="J19" s="281">
        <v>0</v>
      </c>
      <c r="M19" s="272">
        <f>IF(J19&lt;&gt;O25,"Sjekk antall lisenser!!","")</f>
      </c>
    </row>
    <row r="20" spans="1:3" ht="16.5" thickBot="1">
      <c r="A20" s="262">
        <v>6</v>
      </c>
      <c r="B20" s="263">
        <v>5000</v>
      </c>
      <c r="C20" s="264">
        <f>B20/12</f>
        <v>416.6666666666667</v>
      </c>
    </row>
    <row r="21" ht="16.5" thickBot="1"/>
    <row r="22" spans="1:18" ht="15.75">
      <c r="A22" s="206"/>
      <c r="B22" s="248"/>
      <c r="C22" s="248"/>
      <c r="D22" s="249" t="s">
        <v>137</v>
      </c>
      <c r="E22" s="249" t="s">
        <v>138</v>
      </c>
      <c r="F22" s="249" t="s">
        <v>139</v>
      </c>
      <c r="G22" s="249" t="s">
        <v>140</v>
      </c>
      <c r="H22" s="249" t="s">
        <v>95</v>
      </c>
      <c r="I22" s="249" t="s">
        <v>141</v>
      </c>
      <c r="J22" s="249" t="s">
        <v>142</v>
      </c>
      <c r="K22" s="249" t="s">
        <v>143</v>
      </c>
      <c r="L22" s="249" t="s">
        <v>144</v>
      </c>
      <c r="M22" s="249" t="s">
        <v>145</v>
      </c>
      <c r="N22" s="249" t="s">
        <v>146</v>
      </c>
      <c r="O22" s="249" t="s">
        <v>147</v>
      </c>
      <c r="P22" s="249"/>
      <c r="Q22" s="250"/>
      <c r="R22" s="138"/>
    </row>
    <row r="23" spans="1:18" ht="15.75">
      <c r="A23" s="310" t="s">
        <v>172</v>
      </c>
      <c r="B23" s="311"/>
      <c r="C23" s="311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51"/>
      <c r="Q23" s="252">
        <f>SUM(Q26:Q28)</f>
        <v>0</v>
      </c>
      <c r="R23" s="138"/>
    </row>
    <row r="24" spans="1:18" ht="15.75">
      <c r="A24" s="225"/>
      <c r="B24" s="218"/>
      <c r="C24" s="218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37"/>
      <c r="R24" s="138"/>
    </row>
    <row r="25" spans="1:18" ht="15.75">
      <c r="A25" s="310" t="s">
        <v>150</v>
      </c>
      <c r="B25" s="311"/>
      <c r="C25" s="311"/>
      <c r="D25" s="251">
        <f>D23</f>
        <v>0</v>
      </c>
      <c r="E25" s="251">
        <f aca="true" t="shared" si="4" ref="E25:O25">D25+E23</f>
        <v>0</v>
      </c>
      <c r="F25" s="251">
        <f t="shared" si="4"/>
        <v>0</v>
      </c>
      <c r="G25" s="251">
        <f t="shared" si="4"/>
        <v>0</v>
      </c>
      <c r="H25" s="251">
        <f t="shared" si="4"/>
        <v>0</v>
      </c>
      <c r="I25" s="251">
        <f t="shared" si="4"/>
        <v>0</v>
      </c>
      <c r="J25" s="251">
        <f t="shared" si="4"/>
        <v>0</v>
      </c>
      <c r="K25" s="251">
        <f t="shared" si="4"/>
        <v>0</v>
      </c>
      <c r="L25" s="251">
        <f t="shared" si="4"/>
        <v>0</v>
      </c>
      <c r="M25" s="251">
        <f t="shared" si="4"/>
        <v>0</v>
      </c>
      <c r="N25" s="251">
        <f t="shared" si="4"/>
        <v>0</v>
      </c>
      <c r="O25" s="251">
        <f t="shared" si="4"/>
        <v>0</v>
      </c>
      <c r="P25" s="251"/>
      <c r="Q25" s="254"/>
      <c r="R25" s="138"/>
    </row>
    <row r="26" spans="1:31" ht="15.75">
      <c r="A26" s="310" t="s">
        <v>151</v>
      </c>
      <c r="B26" s="311"/>
      <c r="C26" s="311"/>
      <c r="D26" s="251">
        <f aca="true" t="shared" si="5" ref="D26:O26">IF(D25&gt;$A$3,$A$3,D25)</f>
        <v>0</v>
      </c>
      <c r="E26" s="251">
        <f t="shared" si="5"/>
        <v>0</v>
      </c>
      <c r="F26" s="251">
        <f t="shared" si="5"/>
        <v>0</v>
      </c>
      <c r="G26" s="251">
        <f t="shared" si="5"/>
        <v>0</v>
      </c>
      <c r="H26" s="251">
        <f t="shared" si="5"/>
        <v>0</v>
      </c>
      <c r="I26" s="251">
        <f t="shared" si="5"/>
        <v>0</v>
      </c>
      <c r="J26" s="251">
        <f t="shared" si="5"/>
        <v>0</v>
      </c>
      <c r="K26" s="251">
        <f t="shared" si="5"/>
        <v>0</v>
      </c>
      <c r="L26" s="251">
        <f t="shared" si="5"/>
        <v>0</v>
      </c>
      <c r="M26" s="251">
        <f t="shared" si="5"/>
        <v>0</v>
      </c>
      <c r="N26" s="251">
        <f t="shared" si="5"/>
        <v>0</v>
      </c>
      <c r="O26" s="251">
        <f t="shared" si="5"/>
        <v>0</v>
      </c>
      <c r="P26" s="251">
        <f>SUM(D26:O26)</f>
        <v>0</v>
      </c>
      <c r="Q26" s="254">
        <f>P26*C18</f>
        <v>0</v>
      </c>
      <c r="R26" s="138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</row>
    <row r="27" spans="1:32" ht="15.75">
      <c r="A27" s="310" t="s">
        <v>152</v>
      </c>
      <c r="B27" s="311"/>
      <c r="C27" s="311"/>
      <c r="D27" s="251">
        <f aca="true" t="shared" si="6" ref="D27:O27">IF(D25&lt;$A$3+1,0,IF(D25&gt;$A$4,$A$4-$A$3,D25-$A$3))</f>
        <v>0</v>
      </c>
      <c r="E27" s="251">
        <f t="shared" si="6"/>
        <v>0</v>
      </c>
      <c r="F27" s="251">
        <f t="shared" si="6"/>
        <v>0</v>
      </c>
      <c r="G27" s="251">
        <f t="shared" si="6"/>
        <v>0</v>
      </c>
      <c r="H27" s="251">
        <f t="shared" si="6"/>
        <v>0</v>
      </c>
      <c r="I27" s="251">
        <f t="shared" si="6"/>
        <v>0</v>
      </c>
      <c r="J27" s="251">
        <f t="shared" si="6"/>
        <v>0</v>
      </c>
      <c r="K27" s="251">
        <f t="shared" si="6"/>
        <v>0</v>
      </c>
      <c r="L27" s="251">
        <f t="shared" si="6"/>
        <v>0</v>
      </c>
      <c r="M27" s="251">
        <f t="shared" si="6"/>
        <v>0</v>
      </c>
      <c r="N27" s="251">
        <f t="shared" si="6"/>
        <v>0</v>
      </c>
      <c r="O27" s="251">
        <f t="shared" si="6"/>
        <v>0</v>
      </c>
      <c r="P27" s="251">
        <f>SUM(D27:O27)</f>
        <v>0</v>
      </c>
      <c r="Q27" s="254">
        <f>P27*C19</f>
        <v>0</v>
      </c>
      <c r="R27" s="13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</row>
    <row r="28" spans="1:31" ht="16.5" thickBot="1">
      <c r="A28" s="312" t="s">
        <v>153</v>
      </c>
      <c r="B28" s="313"/>
      <c r="C28" s="313"/>
      <c r="D28" s="255">
        <f aca="true" t="shared" si="7" ref="D28:O28">IF(D25&gt;$A$4,D25-$A$4,0)</f>
        <v>0</v>
      </c>
      <c r="E28" s="255">
        <f t="shared" si="7"/>
        <v>0</v>
      </c>
      <c r="F28" s="255">
        <f t="shared" si="7"/>
        <v>0</v>
      </c>
      <c r="G28" s="255">
        <f t="shared" si="7"/>
        <v>0</v>
      </c>
      <c r="H28" s="255">
        <f t="shared" si="7"/>
        <v>0</v>
      </c>
      <c r="I28" s="255">
        <f t="shared" si="7"/>
        <v>0</v>
      </c>
      <c r="J28" s="255">
        <f t="shared" si="7"/>
        <v>0</v>
      </c>
      <c r="K28" s="255">
        <f t="shared" si="7"/>
        <v>0</v>
      </c>
      <c r="L28" s="255">
        <f t="shared" si="7"/>
        <v>0</v>
      </c>
      <c r="M28" s="255">
        <f t="shared" si="7"/>
        <v>0</v>
      </c>
      <c r="N28" s="255">
        <f t="shared" si="7"/>
        <v>0</v>
      </c>
      <c r="O28" s="255">
        <f t="shared" si="7"/>
        <v>0</v>
      </c>
      <c r="P28" s="255">
        <f>SUM(D28:O28)</f>
        <v>0</v>
      </c>
      <c r="Q28" s="256">
        <f>P28*C20</f>
        <v>0</v>
      </c>
      <c r="R28" s="138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</row>
    <row r="30" ht="16.5" thickBot="1"/>
    <row r="31" spans="1:3" ht="15.75">
      <c r="A31" s="314" t="s">
        <v>173</v>
      </c>
      <c r="B31" s="315"/>
      <c r="C31" s="316"/>
    </row>
    <row r="32" spans="1:3" ht="16.5" thickBot="1">
      <c r="A32" s="273" t="s">
        <v>134</v>
      </c>
      <c r="B32" s="274" t="s">
        <v>135</v>
      </c>
      <c r="C32" s="275" t="s">
        <v>136</v>
      </c>
    </row>
    <row r="33" spans="1:13" ht="16.5" thickBot="1">
      <c r="A33" s="276"/>
      <c r="B33" s="277">
        <v>5000</v>
      </c>
      <c r="C33" s="278">
        <f>B33/12</f>
        <v>416.6666666666667</v>
      </c>
      <c r="E33" s="302" t="s">
        <v>170</v>
      </c>
      <c r="F33" s="303"/>
      <c r="G33" s="303"/>
      <c r="H33" s="303"/>
      <c r="I33" s="268"/>
      <c r="J33" s="282">
        <v>0</v>
      </c>
      <c r="M33" s="272">
        <f>IF(J33&lt;&gt;O38,"Sjekk antall lisenser!!","")</f>
      </c>
    </row>
    <row r="34" ht="16.5" thickBot="1"/>
    <row r="35" spans="1:18" ht="15.75">
      <c r="A35" s="206"/>
      <c r="B35" s="248"/>
      <c r="C35" s="248"/>
      <c r="D35" s="249" t="s">
        <v>137</v>
      </c>
      <c r="E35" s="249" t="s">
        <v>138</v>
      </c>
      <c r="F35" s="249" t="s">
        <v>139</v>
      </c>
      <c r="G35" s="249" t="s">
        <v>140</v>
      </c>
      <c r="H35" s="249" t="s">
        <v>95</v>
      </c>
      <c r="I35" s="249" t="s">
        <v>141</v>
      </c>
      <c r="J35" s="249" t="s">
        <v>142</v>
      </c>
      <c r="K35" s="249" t="s">
        <v>143</v>
      </c>
      <c r="L35" s="249" t="s">
        <v>144</v>
      </c>
      <c r="M35" s="249" t="s">
        <v>145</v>
      </c>
      <c r="N35" s="249" t="s">
        <v>146</v>
      </c>
      <c r="O35" s="249" t="s">
        <v>147</v>
      </c>
      <c r="P35" s="249"/>
      <c r="Q35" s="250"/>
      <c r="R35" s="138"/>
    </row>
    <row r="36" spans="1:18" ht="15.75">
      <c r="A36" s="310" t="s">
        <v>172</v>
      </c>
      <c r="B36" s="311"/>
      <c r="C36" s="311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51"/>
      <c r="Q36" s="252">
        <f>SUM(Q39:Q39)</f>
        <v>0</v>
      </c>
      <c r="R36" s="138"/>
    </row>
    <row r="37" spans="1:18" ht="15.75">
      <c r="A37" s="225"/>
      <c r="B37" s="218"/>
      <c r="C37" s="218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37"/>
      <c r="R37" s="138"/>
    </row>
    <row r="38" spans="1:18" ht="15.75">
      <c r="A38" s="310" t="s">
        <v>150</v>
      </c>
      <c r="B38" s="311"/>
      <c r="C38" s="311"/>
      <c r="D38" s="251">
        <f>D36</f>
        <v>0</v>
      </c>
      <c r="E38" s="251">
        <f aca="true" t="shared" si="8" ref="E38:O38">D38+E36</f>
        <v>0</v>
      </c>
      <c r="F38" s="251">
        <f t="shared" si="8"/>
        <v>0</v>
      </c>
      <c r="G38" s="251">
        <f t="shared" si="8"/>
        <v>0</v>
      </c>
      <c r="H38" s="251">
        <f t="shared" si="8"/>
        <v>0</v>
      </c>
      <c r="I38" s="251">
        <f t="shared" si="8"/>
        <v>0</v>
      </c>
      <c r="J38" s="251">
        <f t="shared" si="8"/>
        <v>0</v>
      </c>
      <c r="K38" s="251">
        <f t="shared" si="8"/>
        <v>0</v>
      </c>
      <c r="L38" s="251">
        <f t="shared" si="8"/>
        <v>0</v>
      </c>
      <c r="M38" s="251">
        <f t="shared" si="8"/>
        <v>0</v>
      </c>
      <c r="N38" s="251">
        <f t="shared" si="8"/>
        <v>0</v>
      </c>
      <c r="O38" s="251">
        <f t="shared" si="8"/>
        <v>0</v>
      </c>
      <c r="P38" s="251"/>
      <c r="Q38" s="254"/>
      <c r="R38" s="138"/>
    </row>
    <row r="39" spans="1:31" ht="16.5" thickBot="1">
      <c r="A39" s="312" t="s">
        <v>157</v>
      </c>
      <c r="B39" s="313"/>
      <c r="C39" s="313"/>
      <c r="D39" s="255">
        <f aca="true" t="shared" si="9" ref="D39:O39">IF(D38&gt;$A$3,$A$3,D38)</f>
        <v>0</v>
      </c>
      <c r="E39" s="255">
        <f t="shared" si="9"/>
        <v>0</v>
      </c>
      <c r="F39" s="255">
        <f t="shared" si="9"/>
        <v>0</v>
      </c>
      <c r="G39" s="255">
        <f t="shared" si="9"/>
        <v>0</v>
      </c>
      <c r="H39" s="255">
        <f t="shared" si="9"/>
        <v>0</v>
      </c>
      <c r="I39" s="255">
        <f t="shared" si="9"/>
        <v>0</v>
      </c>
      <c r="J39" s="255">
        <f t="shared" si="9"/>
        <v>0</v>
      </c>
      <c r="K39" s="255">
        <f t="shared" si="9"/>
        <v>0</v>
      </c>
      <c r="L39" s="255">
        <f t="shared" si="9"/>
        <v>0</v>
      </c>
      <c r="M39" s="255">
        <f t="shared" si="9"/>
        <v>0</v>
      </c>
      <c r="N39" s="255">
        <f t="shared" si="9"/>
        <v>0</v>
      </c>
      <c r="O39" s="255">
        <f t="shared" si="9"/>
        <v>0</v>
      </c>
      <c r="P39" s="255">
        <f>SUM(D39:O39)</f>
        <v>0</v>
      </c>
      <c r="Q39" s="256">
        <f>P39*C33</f>
        <v>0</v>
      </c>
      <c r="R39" s="138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1" spans="1:17" ht="15.75">
      <c r="A41" s="265" t="s">
        <v>156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6"/>
      <c r="Q41" s="267">
        <f>Q8+Q23+Q36</f>
        <v>0</v>
      </c>
    </row>
  </sheetData>
  <sheetProtection password="E1F6" sheet="1" objects="1" scenarios="1"/>
  <mergeCells count="19">
    <mergeCell ref="A39:C39"/>
    <mergeCell ref="A27:C27"/>
    <mergeCell ref="A28:C28"/>
    <mergeCell ref="A13:C13"/>
    <mergeCell ref="A25:C25"/>
    <mergeCell ref="E33:H33"/>
    <mergeCell ref="A31:C31"/>
    <mergeCell ref="A36:C36"/>
    <mergeCell ref="A38:C38"/>
    <mergeCell ref="E4:H4"/>
    <mergeCell ref="E19:H19"/>
    <mergeCell ref="A1:C1"/>
    <mergeCell ref="A16:C16"/>
    <mergeCell ref="A8:C8"/>
    <mergeCell ref="A26:C26"/>
    <mergeCell ref="A23:C23"/>
    <mergeCell ref="A10:C10"/>
    <mergeCell ref="A11:C11"/>
    <mergeCell ref="A12:C12"/>
  </mergeCells>
  <printOptions/>
  <pageMargins left="1.4" right="0.787401575" top="0.984251969" bottom="0.984251969" header="0.5" footer="0.5"/>
  <pageSetup fitToHeight="1" fitToWidth="1" horizontalDpi="525" verticalDpi="525" orientation="landscape" paperSize="9" scale="71" r:id="rId1"/>
  <headerFooter alignWithMargins="0">
    <oddHeader>&amp;C&amp;"Calibri,Fet"&amp;11Bilag 1 (Side 5) Beregning årskostnad valgfrie posisjoneringstjenester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kartverk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Statens kartverk</dc:creator>
  <cp:keywords/>
  <dc:description/>
  <cp:lastModifiedBy>jenein</cp:lastModifiedBy>
  <cp:lastPrinted>2010-06-24T08:25:53Z</cp:lastPrinted>
  <dcterms:created xsi:type="dcterms:W3CDTF">2004-09-06T13:33:18Z</dcterms:created>
  <dcterms:modified xsi:type="dcterms:W3CDTF">2010-07-08T07:55:14Z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